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oHJu0AdZ2+1++8xjkjNu8g8lRG9CfpDg35NLxxv8IcV1zGKdwSPfibwlV9Gx69DxHUnOxULWFXGzi/unOJ0jqg==" workbookSaltValue="fOg+QlHFyKTBodIwwANmzg==" workbookSpinCount="100000" lockStructure="1"/>
  <bookViews>
    <workbookView xWindow="0" yWindow="0" windowWidth="21570" windowHeight="6960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N112" i="83"/>
  <c r="AM84" i="83"/>
  <c r="J16" i="83" s="1"/>
  <c r="AL84" i="83"/>
  <c r="AE84" i="83"/>
  <c r="I16" i="83" s="1"/>
  <c r="AD84" i="83"/>
  <c r="V84" i="83"/>
  <c r="O84" i="83"/>
  <c r="N84" i="83"/>
  <c r="I30" i="83" l="1"/>
  <c r="W33" i="83"/>
  <c r="I35" i="83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H195" i="83" l="1"/>
  <c r="K223" i="83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223" i="83" l="1"/>
  <c r="U223" i="83" s="1"/>
  <c r="AC223" i="83" s="1"/>
  <c r="AK223" i="83" s="1"/>
  <c r="M498" i="83"/>
  <c r="M386" i="83"/>
  <c r="M402" i="83"/>
  <c r="M78" i="83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R223" i="83" l="1"/>
  <c r="AC298" i="83"/>
  <c r="U78" i="83"/>
  <c r="AA78" i="83" s="1"/>
  <c r="S78" i="83"/>
  <c r="Q78" i="83"/>
  <c r="Y139" i="83"/>
  <c r="Z279" i="83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C136" i="83" l="1"/>
  <c r="AI245" i="83"/>
  <c r="AJ70" i="83"/>
  <c r="AN70" i="83" s="1"/>
  <c r="Y52" i="83" s="1"/>
  <c r="AG190" i="83"/>
  <c r="AG302" i="83"/>
  <c r="AH161" i="83"/>
  <c r="AG214" i="83"/>
  <c r="AK161" i="83"/>
  <c r="AQ161" i="83" s="1"/>
  <c r="AK214" i="83"/>
  <c r="AK132" i="83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Q245" i="83" s="1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H278" i="83" l="1"/>
  <c r="AI334" i="83"/>
  <c r="Y112" i="83"/>
  <c r="AG334" i="83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U476" i="83" s="1"/>
  <c r="R43" i="83" s="1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S44" i="83" s="1"/>
  <c r="Y476" i="83"/>
  <c r="Y448" i="83"/>
  <c r="Z420" i="83"/>
  <c r="S41" i="83" s="1"/>
  <c r="M224" i="83"/>
  <c r="K34" i="83" s="1"/>
  <c r="AG222" i="83"/>
  <c r="AH222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A478" i="83" l="1"/>
  <c r="V43" i="83" s="1"/>
  <c r="AQ222" i="83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<sst xmlns="http://schemas.openxmlformats.org/spreadsheetml/2006/main" count="65862" uniqueCount="755">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</sst>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38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0.99594102640810755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4.0561739155848802E-3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2.7996763074760886E-6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7.5999999999999998E-2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6.9999999999999993E-2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6.8999999999999992E-2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1.4999958004855386E-2</v>
      </c>
      <c r="AB3">
        <f>SUMIFS(PERSALDATA!$G$2:$G$20871,PERSALDATA!$A$2:$A$20871,WORKING!A3,PERSALDATA!$D$2:$D$20871,WORKING!B3,PERSALDATA!$E$2:$E$20871,WORKING!C3,PERSALDATA!$F$2:$F$20871,"S&amp;W: BASIC SALARY (RES)")</f>
        <v>47</v>
      </c>
      <c r="AC3" s="2">
        <f>SUMIFS(PERSALDATA!$H$2:$H$20871,PERSALDATA!$A$2:$A$20871,WORKING!A3,PERSALDATA!$D$2:$D$20871,WORKING!B3,PERSALDATA!$E$2:$E$20871,WORKING!C3)</f>
        <v>2082383.5899999996</v>
      </c>
    </row>
    <row r="4" spans="1:29" x14ac:dyDescent="0.25">
      <c r="A4" s="2">
        <f>Results!$D$3</f>
        <v>38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0.62892119768025212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5.2936887705931461E-2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7.6940575124310837E-2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1.5907344548063838E-2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0.11817777002359876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8.2071027150220272E-2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2.4556309885701233E-2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4.8888788192154569E-4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0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0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0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7.1807005070882765E-2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7.1003260799110873E-2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7.0003260799110886E-2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6.8003260799110885E-2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1.2065891504552534E-2</v>
      </c>
      <c r="AB4" s="2">
        <f>SUMIFS(PERSALDATA!$G$2:$G$20871,PERSALDATA!$A$2:$A$20871,WORKING!A4,PERSALDATA!$D$2:$D$20871,WORKING!B4,PERSALDATA!$E$2:$E$20871,WORKING!C4,PERSALDATA!$F$2:$F$20871,"S&amp;W: BASIC SALARY (RES)")</f>
        <v>21</v>
      </c>
      <c r="AC4" s="2">
        <f>SUMIFS(PERSALDATA!$H$2:$H$20871,PERSALDATA!$A$2:$A$20871,WORKING!A4,PERSALDATA!$D$2:$D$20871,WORKING!B4,PERSALDATA!$E$2:$E$20871,WORKING!C4)</f>
        <v>3267456.7299999995</v>
      </c>
    </row>
    <row r="5" spans="1:29" x14ac:dyDescent="0.25">
      <c r="A5" s="2">
        <f>Results!$D$3</f>
        <v>38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0.63163532398836009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5.1840703014873493E-2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8.7720588932992699E-2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1.8703816629388893E-2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8.5839026145555455E-2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8.216684755976536E-2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1.7216682016409017E-2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4.4777112203982851E-4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0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2.4429240590615197E-2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0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7.0534981607130329E-2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7.0410379502853421E-2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6.9410379502853406E-2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6.7410379502853404E-2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1.2389889206991179E-2</v>
      </c>
      <c r="AB5" s="2">
        <f>SUMIFS(PERSALDATA!$G$2:$G$20871,PERSALDATA!$A$2:$A$20871,WORKING!A5,PERSALDATA!$D$2:$D$20871,WORKING!B5,PERSALDATA!$E$2:$E$20871,WORKING!C5,PERSALDATA!$F$2:$F$20871,"S&amp;W: BASIC SALARY (RES)")</f>
        <v>33</v>
      </c>
      <c r="AC5" s="2">
        <f>SUMIFS(PERSALDATA!$H$2:$H$20871,PERSALDATA!$A$2:$A$20871,WORKING!A5,PERSALDATA!$D$2:$D$20871,WORKING!B5,PERSALDATA!$E$2:$E$20871,WORKING!C5)</f>
        <v>3307091.34</v>
      </c>
    </row>
    <row r="6" spans="1:29" x14ac:dyDescent="0.25">
      <c r="A6" s="2">
        <f>Results!$D$3</f>
        <v>38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0.65569311239575367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5.068013113708885E-2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6.296205857404559E-2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2.5475227581762055E-2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8.6283111133545976E-2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8.1089824040945974E-2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1.8633142901328247E-2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3.7181233875397025E-4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0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1.8811579896775846E-2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7.2422847104242197E-2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7.0664626081262755E-2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6.9664626081262754E-2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6.7664626081262752E-2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1.2755745269304817E-2</v>
      </c>
      <c r="AB6" s="2">
        <f>SUMIFS(PERSALDATA!$G$2:$G$20871,PERSALDATA!$A$2:$A$20871,WORKING!A6,PERSALDATA!$D$2:$D$20871,WORKING!B6,PERSALDATA!$E$2:$E$20871,WORKING!C6,PERSALDATA!$F$2:$F$20871,"S&amp;W: BASIC SALARY (RES)")</f>
        <v>21</v>
      </c>
      <c r="AC6" s="2">
        <f>SUMIFS(PERSALDATA!$H$2:$H$20871,PERSALDATA!$A$2:$A$20871,WORKING!A6,PERSALDATA!$D$2:$D$20871,WORKING!B6,PERSALDATA!$E$2:$E$20871,WORKING!C6)</f>
        <v>4045293.3999999994</v>
      </c>
    </row>
    <row r="7" spans="1:29" x14ac:dyDescent="0.25">
      <c r="A7" s="2">
        <f>Results!$D$3</f>
        <v>38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0.69629242378276557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5.3628525563922308E-2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5.9214270005228387E-2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1.364819688066719E-2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5.7745595927415946E-2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8.5525991219509989E-2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2.0271836549806015E-2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3.5347728797621405E-4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0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1.3319682782708602E-2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7.2308153822586499E-2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7.0274041238858984E-2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6.9274041238858983E-2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6.7274041238858953E-2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1.3240299851690694E-2</v>
      </c>
      <c r="AB7" s="2">
        <f>SUMIFS(PERSALDATA!$G$2:$G$20871,PERSALDATA!$A$2:$A$20871,WORKING!A7,PERSALDATA!$D$2:$D$20871,WORKING!B7,PERSALDATA!$E$2:$E$20871,WORKING!C7,PERSALDATA!$F$2:$F$20871,"S&amp;W: BASIC SALARY (RES)")</f>
        <v>37</v>
      </c>
      <c r="AC7" s="2">
        <f>SUMIFS(PERSALDATA!$H$2:$H$20871,PERSALDATA!$A$2:$A$20871,WORKING!A7,PERSALDATA!$D$2:$D$20871,WORKING!B7,PERSALDATA!$E$2:$E$20871,WORKING!C7)</f>
        <v>7553922.3899999978</v>
      </c>
    </row>
    <row r="8" spans="1:29" x14ac:dyDescent="0.25">
      <c r="A8" s="2">
        <f>Results!$D$3</f>
        <v>38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0.69098900514313444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5.4584121803791547E-2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4.5383443813930231E-2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1.3780601791661047E-2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7.0812918959458501E-2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8.7493433194244505E-2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2.6825641352561498E-2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2.7682830677719047E-4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0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9.8540056344408201E-3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7.35422391355737E-2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7.0608359346252564E-2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6.9608359346252549E-2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6.7608359346252561E-2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1.3252902133797506E-2</v>
      </c>
      <c r="AB8" s="2">
        <f>SUMIFS(PERSALDATA!$G$2:$G$20871,PERSALDATA!$A$2:$A$20871,WORKING!A8,PERSALDATA!$D$2:$D$20871,WORKING!B8,PERSALDATA!$E$2:$E$20871,WORKING!C8,PERSALDATA!$F$2:$F$20871,"S&amp;W: BASIC SALARY (RES)")</f>
        <v>29</v>
      </c>
      <c r="AC8" s="2">
        <f>SUMIFS(PERSALDATA!$H$2:$H$20871,PERSALDATA!$A$2:$A$20871,WORKING!A8,PERSALDATA!$D$2:$D$20871,WORKING!B8,PERSALDATA!$E$2:$E$20871,WORKING!C8)</f>
        <v>7476294.6900000013</v>
      </c>
    </row>
    <row r="9" spans="1:29" x14ac:dyDescent="0.25">
      <c r="A9" s="2">
        <f>Results!$D$3</f>
        <v>38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0.76841687133284631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4.644336452809688E-2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3.4395928292953605E-2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9.0022336051863074E-3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4.3157048650614933E-2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7.3517097575880777E-2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2.4058873659872811E-2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2.51666368509522E-4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0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7.5691598603854241E-4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0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7.3990108130844098E-2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7.0303396446829675E-2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6.9303396446829674E-2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6.7303396446829658E-2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1.3832930350318823E-2</v>
      </c>
      <c r="AB9" s="2">
        <f>SUMIFS(PERSALDATA!$G$2:$G$20871,PERSALDATA!$A$2:$A$20871,WORKING!A9,PERSALDATA!$D$2:$D$20871,WORKING!B9,PERSALDATA!$E$2:$E$20871,WORKING!C9,PERSALDATA!$F$2:$F$20871,"S&amp;W: BASIC SALARY (RES)")</f>
        <v>69</v>
      </c>
      <c r="AC9" s="2">
        <f>SUMIFS(PERSALDATA!$H$2:$H$20871,PERSALDATA!$A$2:$A$20871,WORKING!A9,PERSALDATA!$D$2:$D$20871,WORKING!B9,PERSALDATA!$E$2:$E$20871,WORKING!C9)</f>
        <v>19458698.549999993</v>
      </c>
    </row>
    <row r="10" spans="1:29" x14ac:dyDescent="0.25">
      <c r="A10" s="2">
        <f>Results!$D$3</f>
        <v>38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0.69982347236077935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5.5867865147710832E-2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3.0949978198979308E-2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1.4792776724222925E-2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4.762237157130203E-2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8.7553836707329635E-2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2.4889991661404091E-2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1.8575361179167871E-4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0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3.7461558027756629E-2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8.5239598872351695E-4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7.4314514858875802E-2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7.0404835791579745E-2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6.9404835791579744E-2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6.7404835791579756E-2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1.3818628449268905E-2</v>
      </c>
      <c r="AB10" s="2">
        <f>SUMIFS(PERSALDATA!$G$2:$G$20871,PERSALDATA!$A$2:$A$20871,WORKING!A10,PERSALDATA!$D$2:$D$20871,WORKING!B10,PERSALDATA!$E$2:$E$20871,WORKING!C10,PERSALDATA!$F$2:$F$20871,"S&amp;W: BASIC SALARY (RES)")</f>
        <v>27</v>
      </c>
      <c r="AC10" s="2">
        <f>SUMIFS(PERSALDATA!$H$2:$H$20871,PERSALDATA!$A$2:$A$20871,WORKING!A10,PERSALDATA!$D$2:$D$20871,WORKING!B10,PERSALDATA!$E$2:$E$20871,WORKING!C10)</f>
        <v>10420039.65</v>
      </c>
    </row>
    <row r="11" spans="1:29" x14ac:dyDescent="0.25">
      <c r="A11" s="2">
        <f>Results!$D$3</f>
        <v>38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0.74495490884147153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5.6987011613857774E-2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2.5095341712143622E-2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6.9878013815836042E-3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3.7681399823487907E-2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9.2788725949681655E-2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2.2627270999379362E-2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1.6746766534857132E-4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0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1.2710072013045928E-2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7.4620293627405923E-2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7.0314267580230891E-2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6.9314267580230904E-2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6.7314267580230888E-2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1.4055836861985298E-2</v>
      </c>
      <c r="AB11" s="2">
        <f>SUMIFS(PERSALDATA!$G$2:$G$20871,PERSALDATA!$A$2:$A$20871,WORKING!A11,PERSALDATA!$D$2:$D$20871,WORKING!B11,PERSALDATA!$E$2:$E$20871,WORKING!C11,PERSALDATA!$F$2:$F$20871,"S&amp;W: BASIC SALARY (RES)")</f>
        <v>54</v>
      </c>
      <c r="AC11" s="2">
        <f>SUMIFS(PERSALDATA!$H$2:$H$20871,PERSALDATA!$A$2:$A$20871,WORKING!A11,PERSALDATA!$D$2:$D$20871,WORKING!B11,PERSALDATA!$E$2:$E$20871,WORKING!C11)</f>
        <v>22976375.720000003</v>
      </c>
    </row>
    <row r="12" spans="1:29" x14ac:dyDescent="0.25">
      <c r="A12" s="2">
        <f>Results!$D$3</f>
        <v>38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0.79048541968553576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4.9577438560268083E-2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1.9899302680549399E-2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6.4345121700035294E-3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2.4846837878439141E-2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7.732238182180326E-2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2.2632989285592559E-2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1.3774234143086833E-4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3.8526566126890729E-4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8.2781099151085502E-3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0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7.4835508726576391E-2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7.0173709541371115E-2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6.9173709541371087E-2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6.7173709541371099E-2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1.432674175649371E-2</v>
      </c>
      <c r="AB12" s="2">
        <f>SUMIFS(PERSALDATA!$G$2:$G$20871,PERSALDATA!$A$2:$A$20871,WORKING!A12,PERSALDATA!$D$2:$D$20871,WORKING!B12,PERSALDATA!$E$2:$E$20871,WORKING!C12,PERSALDATA!$F$2:$F$20871,"S&amp;W: BASIC SALARY (RES)")</f>
        <v>16</v>
      </c>
      <c r="AC12" s="2">
        <f>SUMIFS(PERSALDATA!$H$2:$H$20871,PERSALDATA!$A$2:$A$20871,WORKING!A12,PERSALDATA!$D$2:$D$20871,WORKING!B12,PERSALDATA!$E$2:$E$20871,WORKING!C12)</f>
        <v>7914850.2100000009</v>
      </c>
    </row>
    <row r="13" spans="1:29" x14ac:dyDescent="0.25">
      <c r="A13" s="2">
        <f>Results!$D$3</f>
        <v>38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0.67440459340348125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5.1918799813027453E-2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3.3443242036941922E-3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4.3938390147102479E-3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7.7355291993764811E-3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8.1351858755090767E-2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2.6724588105000748E-2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1.0898385722451099E-4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0.13097826027080864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1.9039223377585537E-2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1.4832167441095568E-2</v>
      </c>
      <c r="AB13" s="2">
        <f>SUMIFS(PERSALDATA!$G$2:$G$20871,PERSALDATA!$A$2:$A$20871,WORKING!A13,PERSALDATA!$D$2:$D$20871,WORKING!B13,PERSALDATA!$E$2:$E$20871,WORKING!C13,PERSALDATA!$F$2:$F$20871,"S&amp;W: BASIC SALARY (RES)")</f>
        <v>37</v>
      </c>
      <c r="AC13" s="2">
        <f>SUMIFS(PERSALDATA!$H$2:$H$20871,PERSALDATA!$A$2:$A$20871,WORKING!A13,PERSALDATA!$D$2:$D$20871,WORKING!B13,PERSALDATA!$E$2:$E$20871,WORKING!C13)</f>
        <v>25569291.36999999</v>
      </c>
    </row>
    <row r="14" spans="1:29" x14ac:dyDescent="0.25">
      <c r="A14" s="2">
        <f>Results!$D$3</f>
        <v>38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0.67345456512634549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4.4381952335157661E-2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7.5776519239696902E-3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5.4927972106148359E-4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1.1617538390996699E-2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8.6813366788324506E-2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2.4992436375709064E-2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8.9634599313407836E-5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0.12360068891404914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2.6922885825072951E-2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1.4710727626285804E-2</v>
      </c>
      <c r="AB14" s="2">
        <f>SUMIFS(PERSALDATA!$G$2:$G$20871,PERSALDATA!$A$2:$A$20871,WORKING!A14,PERSALDATA!$D$2:$D$20871,WORKING!B14,PERSALDATA!$E$2:$E$20871,WORKING!C14,PERSALDATA!$F$2:$F$20871,"S&amp;W: BASIC SALARY (RES)")</f>
        <v>20</v>
      </c>
      <c r="AC14" s="2">
        <f>SUMIFS(PERSALDATA!$H$2:$H$20871,PERSALDATA!$A$2:$A$20871,WORKING!A14,PERSALDATA!$D$2:$D$20871,WORKING!B14,PERSALDATA!$E$2:$E$20871,WORKING!C14)</f>
        <v>13918955.509999998</v>
      </c>
    </row>
    <row r="15" spans="1:29" x14ac:dyDescent="0.25">
      <c r="A15" s="2">
        <f>Results!$D$3</f>
        <v>38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0.6358449543127408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3.9524380271555581E-2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3.3518296167587745E-2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7.8352309223374168E-3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7.9817959577153652E-2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1.147611417946723E-2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7.4366217247895481E-5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0.16867075200803214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2.1907874790834506E-2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1.0091172521981384E-3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3.2095430084490582E-4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1.4378581600392406E-2</v>
      </c>
      <c r="AB15" s="2">
        <f>SUMIFS(PERSALDATA!$G$2:$G$20871,PERSALDATA!$A$2:$A$20871,WORKING!A15,PERSALDATA!$D$2:$D$20871,WORKING!B15,PERSALDATA!$E$2:$E$20871,WORKING!C15,PERSALDATA!$F$2:$F$20871,"S&amp;W: BASIC SALARY (RES)")</f>
        <v>29</v>
      </c>
      <c r="AC15" s="2">
        <f>SUMIFS(PERSALDATA!$H$2:$H$20871,PERSALDATA!$A$2:$A$20871,WORKING!A15,PERSALDATA!$D$2:$D$20871,WORKING!B15,PERSALDATA!$E$2:$E$20871,WORKING!C15)</f>
        <v>27673721.700000003</v>
      </c>
    </row>
    <row r="16" spans="1:29" x14ac:dyDescent="0.25">
      <c r="A16" s="2">
        <f>Results!$D$3</f>
        <v>38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0.61338793716217388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3.7924957573424081E-2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5.8089402836793659E-3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6.582193306397051E-3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6.3762087995737265E-2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5.446012266492997E-3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6.2465611811817536E-5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0.24426182187702974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2.2763583923253609E-2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1.4813196011971673E-2</v>
      </c>
      <c r="AB16" s="2">
        <f>SUMIFS(PERSALDATA!$G$2:$G$20871,PERSALDATA!$A$2:$A$20871,WORKING!A16,PERSALDATA!$D$2:$D$20871,WORKING!B16,PERSALDATA!$E$2:$E$20871,WORKING!C16,PERSALDATA!$F$2:$F$20871,"S&amp;W: BASIC SALARY (RES)")</f>
        <v>13</v>
      </c>
      <c r="AC16" s="2">
        <f>SUMIFS(PERSALDATA!$H$2:$H$20871,PERSALDATA!$A$2:$A$20871,WORKING!A16,PERSALDATA!$D$2:$D$20871,WORKING!B16,PERSALDATA!$E$2:$E$20871,WORKING!C16)</f>
        <v>14933016.310000001</v>
      </c>
    </row>
    <row r="17" spans="1:29" x14ac:dyDescent="0.25">
      <c r="A17" s="2">
        <f>Results!$D$3</f>
        <v>38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0.65940882206679929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1.7336170314850761E-2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0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4.9226942555456238E-3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5.8678649142090783E-2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4.9198812873995971E-5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0.25960446540783949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1.4925421603973702E-2</v>
      </c>
      <c r="AB17" s="2">
        <f>SUMIFS(PERSALDATA!$G$2:$G$20871,PERSALDATA!$A$2:$A$20871,WORKING!A17,PERSALDATA!$D$2:$D$20871,WORKING!B17,PERSALDATA!$E$2:$E$20871,WORKING!C17,PERSALDATA!$F$2:$F$20871,"S&amp;W: BASIC SALARY (RES)")</f>
        <v>3</v>
      </c>
      <c r="AC17" s="2">
        <f>SUMIFS(PERSALDATA!$H$2:$H$20871,PERSALDATA!$A$2:$A$20871,WORKING!A17,PERSALDATA!$D$2:$D$20871,WORKING!B17,PERSALDATA!$E$2:$E$20871,WORKING!C17)</f>
        <v>4265956.5900000008</v>
      </c>
    </row>
    <row r="18" spans="1:29" x14ac:dyDescent="0.25">
      <c r="A18" s="2">
        <f>Results!$D$3</f>
        <v>38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0.67313008728800272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1.7672095339796669E-2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1.5233425675239829E-3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5.3855377778677965E-2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2.3196869470393184E-5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0.25258271127257487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1.2131888839532884E-3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1.4976801908445081E-2</v>
      </c>
      <c r="AB18" s="2">
        <f>SUMIFS(PERSALDATA!$G$2:$G$20871,PERSALDATA!$A$2:$A$20871,WORKING!A18,PERSALDATA!$D$2:$D$20871,WORKING!B18,PERSALDATA!$E$2:$E$20871,WORKING!C18,PERSALDATA!$F$2:$F$20871,"S&amp;W: BASIC SALARY (RES)")</f>
        <v>5</v>
      </c>
      <c r="AC18" s="2">
        <f>SUMIFS(PERSALDATA!$H$2:$H$20871,PERSALDATA!$A$2:$A$20871,WORKING!A18,PERSALDATA!$D$2:$D$20871,WORKING!B18,PERSALDATA!$E$2:$E$20871,WORKING!C18)</f>
        <v>10555734.700000001</v>
      </c>
    </row>
    <row r="19" spans="1:29" x14ac:dyDescent="0.25">
      <c r="A19" s="2">
        <f>Results!$D$3</f>
        <v>38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38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38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38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38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38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0.67233513796611233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5.6026630650395488E-2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6.6729262999213848E-2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0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9.7929889214298113E-2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8.7402888285693675E-2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1.9230385014699369E-2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3.4580586958703706E-4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0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0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0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0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7.2299594461059907E-2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7.0801655708222319E-2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6.9801655708222332E-2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6.780165570822233E-2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1.2524925628753512E-2</v>
      </c>
      <c r="AB24" s="2">
        <f>SUMIFS(PERSALDATA!$G$2:$G$20871,PERSALDATA!$A$2:$A$20871,WORKING!A24,PERSALDATA!$D$2:$D$20871,WORKING!B24,PERSALDATA!$E$2:$E$20871,WORKING!C24,PERSALDATA!$F$2:$F$20871,"S&amp;W: BASIC SALARY (RES)")</f>
        <v>5</v>
      </c>
      <c r="AC24" s="2">
        <f>SUMIFS(PERSALDATA!$H$2:$H$20871,PERSALDATA!$A$2:$A$20871,WORKING!A24,PERSALDATA!$D$2:$D$20871,WORKING!B24,PERSALDATA!$E$2:$E$20871,WORKING!C24)</f>
        <v>1011550.2100000001</v>
      </c>
    </row>
    <row r="25" spans="1:29" x14ac:dyDescent="0.25">
      <c r="A25" s="2">
        <f>Results!$D$3</f>
        <v>38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0.99958748530902874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0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0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0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0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0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0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4.1251469097130584E-4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0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0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0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7.6000000000000012E-2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7.0000000000000007E-2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6.900000000000002E-2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6.7000000000000004E-2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1.499381227963543E-2</v>
      </c>
      <c r="AB25" s="2">
        <f>SUMIFS(PERSALDATA!$G$2:$G$20871,PERSALDATA!$A$2:$A$20871,WORKING!A25,PERSALDATA!$D$2:$D$20871,WORKING!B25,PERSALDATA!$E$2:$E$20871,WORKING!C25,PERSALDATA!$F$2:$F$20871,"S&amp;W: BASIC SALARY (RES)")</f>
        <v>0</v>
      </c>
      <c r="AC25" s="2">
        <f>SUMIFS(PERSALDATA!$H$2:$H$20871,PERSALDATA!$A$2:$A$20871,WORKING!A25,PERSALDATA!$D$2:$D$20871,WORKING!B25,PERSALDATA!$E$2:$E$20871,WORKING!C25)</f>
        <v>14132.83</v>
      </c>
    </row>
    <row r="26" spans="1:29" x14ac:dyDescent="0.25">
      <c r="A26" s="2">
        <f>Results!$D$3</f>
        <v>38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0.70801339099059812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6.3311736562949902E-2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4.5925923070981103E-2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0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5.97219352852595E-2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9.2041169006010115E-2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2.3957236758117062E-2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2.3449836353929315E-4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0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6.7941099625447978E-3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7.3345736940599052E-2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7.043656979856909E-2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6.9436569798569089E-2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6.7436569798569088E-2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1.3411764649203298E-2</v>
      </c>
      <c r="AB26" s="2">
        <f>SUMIFS(PERSALDATA!$G$2:$G$20871,PERSALDATA!$A$2:$A$20871,WORKING!A26,PERSALDATA!$D$2:$D$20871,WORKING!B26,PERSALDATA!$E$2:$E$20871,WORKING!C26,PERSALDATA!$F$2:$F$20871,"S&amp;W: BASIC SALARY (RES)")</f>
        <v>12</v>
      </c>
      <c r="AC26" s="2">
        <f>SUMIFS(PERSALDATA!$H$2:$H$20871,PERSALDATA!$A$2:$A$20871,WORKING!A26,PERSALDATA!$D$2:$D$20871,WORKING!B26,PERSALDATA!$E$2:$E$20871,WORKING!C26)</f>
        <v>3331451.8200000003</v>
      </c>
    </row>
    <row r="27" spans="1:29" x14ac:dyDescent="0.25">
      <c r="A27" s="2">
        <f>Results!$D$3</f>
        <v>38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0.75194186675237373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5.9754313576005337E-2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3.1939944895860314E-2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0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3.6445206069062715E-2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8.5671704320919473E-2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3.4045369645259144E-2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2.0159474051934171E-4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0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0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0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7.4082797072881484E-2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7.022727864207734E-2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6.9227278642077353E-2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6.7227278642077351E-2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1.3971198814418365E-2</v>
      </c>
      <c r="AB27" s="2">
        <f>SUMIFS(PERSALDATA!$G$2:$G$20871,PERSALDATA!$A$2:$A$20871,WORKING!A27,PERSALDATA!$D$2:$D$20871,WORKING!B27,PERSALDATA!$E$2:$E$20871,WORKING!C27,PERSALDATA!$F$2:$F$20871,"S&amp;W: BASIC SALARY (RES)")</f>
        <v>2</v>
      </c>
      <c r="AC27" s="2">
        <f>SUMIFS(PERSALDATA!$H$2:$H$20871,PERSALDATA!$A$2:$A$20871,WORKING!A27,PERSALDATA!$D$2:$D$20871,WORKING!B27,PERSALDATA!$E$2:$E$20871,WORKING!C27)</f>
        <v>1098937.3999999999</v>
      </c>
    </row>
    <row r="28" spans="1:29" x14ac:dyDescent="0.25">
      <c r="A28" s="2">
        <f>Results!$D$3</f>
        <v>38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0.76108976473379697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6.0867156154360592E-2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2.4207086760669964E-2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0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3.2245935416879978E-2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9.9071614629013635E-2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2.2340047603037011E-2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1.783947022419659E-4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7.4611704502025408E-2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7.0241618163646533E-2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6.9241618163646504E-2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6.7241618163646516E-2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1.4150528746803124E-2</v>
      </c>
      <c r="AB28" s="2">
        <f>SUMIFS(PERSALDATA!$G$2:$G$20871,PERSALDATA!$A$2:$A$20871,WORKING!A28,PERSALDATA!$D$2:$D$20871,WORKING!B28,PERSALDATA!$E$2:$E$20871,WORKING!C28,PERSALDATA!$F$2:$F$20871,"S&amp;W: BASIC SALARY (RES)")</f>
        <v>11</v>
      </c>
      <c r="AC28" s="2">
        <f>SUMIFS(PERSALDATA!$H$2:$H$20871,PERSALDATA!$A$2:$A$20871,WORKING!A28,PERSALDATA!$D$2:$D$20871,WORKING!B28,PERSALDATA!$E$2:$E$20871,WORKING!C28)</f>
        <v>4771330.0299999993</v>
      </c>
    </row>
    <row r="29" spans="1:29" x14ac:dyDescent="0.25">
      <c r="A29" s="2">
        <f>Results!$D$3</f>
        <v>38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0.75975573353117709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6.3492931772415967E-2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2.4778766191329751E-2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0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3.7458442434772192E-2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9.8767959171548764E-2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1.5610999453707903E-2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1.3516744504837654E-4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0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7.4641231963545759E-2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7.0314088974608294E-2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6.9314088974608293E-2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6.7314088974608277E-2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1.4064414358932745E-2</v>
      </c>
      <c r="AB29" s="2">
        <f>SUMIFS(PERSALDATA!$G$2:$G$20871,PERSALDATA!$A$2:$A$20871,WORKING!A29,PERSALDATA!$D$2:$D$20871,WORKING!B29,PERSALDATA!$E$2:$E$20871,WORKING!C29,PERSALDATA!$F$2:$F$20871,"S&amp;W: BASIC SALARY (RES)")</f>
        <v>4</v>
      </c>
      <c r="AC29" s="2">
        <f>SUMIFS(PERSALDATA!$H$2:$H$20871,PERSALDATA!$A$2:$A$20871,WORKING!A29,PERSALDATA!$D$2:$D$20871,WORKING!B29,PERSALDATA!$E$2:$E$20871,WORKING!C29)</f>
        <v>2070321</v>
      </c>
    </row>
    <row r="30" spans="1:29" x14ac:dyDescent="0.25">
      <c r="A30" s="2">
        <f>Results!$D$3</f>
        <v>38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0.69123088420883538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5.7199243949471561E-2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5.9292752168719834E-3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2.2723926908611793E-3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1.8594083633912139E-2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8.9432131863703163E-2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2.6431067682462277E-2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1.1307650341754903E-4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0.10879784425046465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1.4630453469686973E-2</v>
      </c>
      <c r="AB30" s="2">
        <f>SUMIFS(PERSALDATA!$G$2:$G$20871,PERSALDATA!$A$2:$A$20871,WORKING!A30,PERSALDATA!$D$2:$D$20871,WORKING!B30,PERSALDATA!$E$2:$E$20871,WORKING!C30,PERSALDATA!$F$2:$F$20871,"S&amp;W: BASIC SALARY (RES)")</f>
        <v>15</v>
      </c>
      <c r="AC30" s="2">
        <f>SUMIFS(PERSALDATA!$H$2:$H$20871,PERSALDATA!$A$2:$A$20871,WORKING!A30,PERSALDATA!$D$2:$D$20871,WORKING!B30,PERSALDATA!$E$2:$E$20871,WORKING!C30)</f>
        <v>9332000.6200000029</v>
      </c>
    </row>
    <row r="31" spans="1:29" x14ac:dyDescent="0.25">
      <c r="A31" s="2">
        <f>Results!$D$3</f>
        <v>38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0.69441697813372028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5.7919410191301257E-2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1.7227803691947874E-2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0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1.1073664100957482E-2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9.0273997474801901E-2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2.6577762724787408E-2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8.8316637084243663E-5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0.10242206704539958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0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1.4574153233550156E-2</v>
      </c>
      <c r="AB31" s="2">
        <f>SUMIFS(PERSALDATA!$G$2:$G$20871,PERSALDATA!$A$2:$A$20871,WORKING!A31,PERSALDATA!$D$2:$D$20871,WORKING!B31,PERSALDATA!$E$2:$E$20871,WORKING!C31,PERSALDATA!$F$2:$F$20871,"S&amp;W: BASIC SALARY (RES)")</f>
        <v>4</v>
      </c>
      <c r="AC31" s="2">
        <f>SUMIFS(PERSALDATA!$H$2:$H$20871,PERSALDATA!$A$2:$A$20871,WORKING!A31,PERSALDATA!$D$2:$D$20871,WORKING!B31,PERSALDATA!$E$2:$E$20871,WORKING!C31)</f>
        <v>3168598.9099999992</v>
      </c>
    </row>
    <row r="32" spans="1:29" x14ac:dyDescent="0.25">
      <c r="A32" s="2">
        <f>Results!$D$3</f>
        <v>38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0.62769163407850359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5.2307636173208646E-2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3.1319919836460625E-2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8.2309762373447733E-3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8.159972703030681E-2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7.0050843459954996E-3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7.571848751671799E-5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0.18341714254760186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5.1477085484370362E-3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3.204452714624397E-3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1.4405600781580168E-2</v>
      </c>
      <c r="AB32" s="2">
        <f>SUMIFS(PERSALDATA!$G$2:$G$20871,PERSALDATA!$A$2:$A$20871,WORKING!A32,PERSALDATA!$D$2:$D$20871,WORKING!B32,PERSALDATA!$E$2:$E$20871,WORKING!C32,PERSALDATA!$F$2:$F$20871,"S&amp;W: BASIC SALARY (RES)")</f>
        <v>8</v>
      </c>
      <c r="AC32" s="2">
        <f>SUMIFS(PERSALDATA!$H$2:$H$20871,PERSALDATA!$A$2:$A$20871,WORKING!A32,PERSALDATA!$D$2:$D$20871,WORKING!B32,PERSALDATA!$E$2:$E$20871,WORKING!C32)</f>
        <v>7391589.7999999989</v>
      </c>
    </row>
    <row r="33" spans="1:29" x14ac:dyDescent="0.25">
      <c r="A33" s="2">
        <f>Results!$D$3</f>
        <v>38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0.61612818323011065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5.3453888829656113E-2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1.5075742740039175E-2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4.9546996597483184E-3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8.0096522011390364E-2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1.7671408101985305E-2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6.2324172361693421E-5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0.21255723125470838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1.4698608501417762E-2</v>
      </c>
      <c r="AB33" s="2">
        <f>SUMIFS(PERSALDATA!$G$2:$G$20871,PERSALDATA!$A$2:$A$20871,WORKING!A33,PERSALDATA!$D$2:$D$20871,WORKING!B33,PERSALDATA!$E$2:$E$20871,WORKING!C33,PERSALDATA!$F$2:$F$20871,"S&amp;W: BASIC SALARY (RES)")</f>
        <v>3</v>
      </c>
      <c r="AC33" s="2">
        <f>SUMIFS(PERSALDATA!$H$2:$H$20871,PERSALDATA!$A$2:$A$20871,WORKING!A33,PERSALDATA!$D$2:$D$20871,WORKING!B33,PERSALDATA!$E$2:$E$20871,WORKING!C33)</f>
        <v>4302985.34</v>
      </c>
    </row>
    <row r="34" spans="1:29" x14ac:dyDescent="0.25">
      <c r="A34" s="2">
        <f>Results!$D$3</f>
        <v>38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0.63411226680361843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4.877786667720143E-2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1.5053060049094048E-2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0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3.8046663676654276E-2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0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5.3833150383213387E-5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0.2639563096430485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1.4773396602007839E-2</v>
      </c>
      <c r="AB34" s="2">
        <f>SUMIFS(PERSALDATA!$G$2:$G$20871,PERSALDATA!$A$2:$A$20871,WORKING!A34,PERSALDATA!$D$2:$D$20871,WORKING!B34,PERSALDATA!$E$2:$E$20871,WORKING!C34,PERSALDATA!$F$2:$F$20871,"S&amp;W: BASIC SALARY (RES)")</f>
        <v>1</v>
      </c>
      <c r="AC34" s="2">
        <f>SUMIFS(PERSALDATA!$H$2:$H$20871,PERSALDATA!$A$2:$A$20871,WORKING!A34,PERSALDATA!$D$2:$D$20871,WORKING!B34,PERSALDATA!$E$2:$E$20871,WORKING!C34)</f>
        <v>1299570.98</v>
      </c>
    </row>
    <row r="35" spans="1:29" x14ac:dyDescent="0.25">
      <c r="A35" s="2">
        <f>Results!$D$3</f>
        <v>38</v>
      </c>
      <c r="B35" s="2">
        <v>2</v>
      </c>
      <c r="C35" s="2">
        <v>16</v>
      </c>
      <c r="D35" s="62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>0.884927961114643</v>
      </c>
      <c r="E35" s="62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>0</v>
      </c>
      <c r="F35" s="62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>0</v>
      </c>
      <c r="G35" s="69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>0</v>
      </c>
      <c r="H35" s="62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>0</v>
      </c>
      <c r="I35" s="62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>0.11504048991705615</v>
      </c>
      <c r="J35" s="62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>0</v>
      </c>
      <c r="K35" s="62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>3.1548968300935097E-5</v>
      </c>
      <c r="L35" s="62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>0</v>
      </c>
      <c r="M35" s="62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>0</v>
      </c>
      <c r="N35" s="62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>0</v>
      </c>
      <c r="O35" s="62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>0</v>
      </c>
      <c r="P35" s="62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>0</v>
      </c>
      <c r="Q35" s="62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>0</v>
      </c>
      <c r="R35" s="62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>0</v>
      </c>
      <c r="S35" s="62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>0</v>
      </c>
      <c r="T35" s="62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>0</v>
      </c>
      <c r="U35" s="62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>0</v>
      </c>
      <c r="V35" s="62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>0</v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1.4999526765475488E-2</v>
      </c>
      <c r="AB35" s="2">
        <f>SUMIFS(PERSALDATA!$G$2:$G$20871,PERSALDATA!$A$2:$A$20871,WORKING!A35,PERSALDATA!$D$2:$D$20871,WORKING!B35,PERSALDATA!$E$2:$E$20871,WORKING!C35,PERSALDATA!$F$2:$F$20871,"S&amp;W: BASIC SALARY (RES)")</f>
        <v>1</v>
      </c>
      <c r="AC35" s="2">
        <f>SUMIFS(PERSALDATA!$H$2:$H$20871,PERSALDATA!$A$2:$A$20871,WORKING!A35,PERSALDATA!$D$2:$D$20871,WORKING!B35,PERSALDATA!$E$2:$E$20871,WORKING!C35)</f>
        <v>1663128.8699999999</v>
      </c>
    </row>
    <row r="36" spans="1:29" x14ac:dyDescent="0.25">
      <c r="A36" s="2">
        <f>Results!$D$3</f>
        <v>38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38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38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38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38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38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0.68569019487957406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6.6689456423224644E-2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6.5799938732945928E-2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0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6.2132781653649473E-2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8.9138979717754932E-2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3.0203599284500518E-2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3.4504930835038466E-4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0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0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0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7.1869063599447211E-2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7.0273992337475277E-2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6.9273992337475263E-2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6.7273992337475289E-2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1.3075833454575813E-2</v>
      </c>
      <c r="AB41" s="2">
        <f>SUMIFS(PERSALDATA!$G$2:$G$20871,PERSALDATA!$A$2:$A$20871,WORKING!A41,PERSALDATA!$D$2:$D$20871,WORKING!B41,PERSALDATA!$E$2:$E$20871,WORKING!C41,PERSALDATA!$F$2:$F$20871,"S&amp;W: BASIC SALARY (RES)")</f>
        <v>4</v>
      </c>
      <c r="AC41" s="2">
        <f>SUMIFS(PERSALDATA!$H$2:$H$20871,PERSALDATA!$A$2:$A$20871,WORKING!A41,PERSALDATA!$D$2:$D$20871,WORKING!B41,PERSALDATA!$E$2:$E$20871,WORKING!C41)</f>
        <v>861702.93</v>
      </c>
    </row>
    <row r="42" spans="1:29" x14ac:dyDescent="0.25">
      <c r="A42" s="2">
        <f>Results!$D$3</f>
        <v>38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0.71451660527776562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8.8484262271983957E-2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4.5986587628496584E-2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0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5.7828133942834453E-2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9.2886519983503585E-2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0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2.9789089541570565E-4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0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0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7.3314613215433935E-2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7.0407556132857554E-2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6.9407556132857567E-2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6.7407556132857552E-2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1.3438310812998799E-2</v>
      </c>
      <c r="AB42" s="2">
        <f>SUMIFS(PERSALDATA!$G$2:$G$20871,PERSALDATA!$A$2:$A$20871,WORKING!A42,PERSALDATA!$D$2:$D$20871,WORKING!B42,PERSALDATA!$E$2:$E$20871,WORKING!C42,PERSALDATA!$F$2:$F$20871,"S&amp;W: BASIC SALARY (RES)")</f>
        <v>0</v>
      </c>
      <c r="AC42" s="2">
        <f>SUMIFS(PERSALDATA!$H$2:$H$20871,PERSALDATA!$A$2:$A$20871,WORKING!A42,PERSALDATA!$D$2:$D$20871,WORKING!B42,PERSALDATA!$E$2:$E$20871,WORKING!C42)</f>
        <v>156567.39000000001</v>
      </c>
    </row>
    <row r="43" spans="1:29" x14ac:dyDescent="0.25">
      <c r="A43" s="2">
        <f>Results!$D$3</f>
        <v>38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0.72628410985561043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5.4896638016646654E-2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3.9885051169858833E-2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1.9818588985249063E-4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5.6188558765196447E-2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9.4416332540870507E-2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2.7891368409882919E-2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2.3975535208164154E-4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7.3755375933803477E-2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7.0443977869779351E-2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6.9443977869779377E-2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6.7443977869779334E-2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1.3555299520692945E-2</v>
      </c>
      <c r="AB43" s="2">
        <f>SUMIFS(PERSALDATA!$G$2:$G$20871,PERSALDATA!$A$2:$A$20871,WORKING!A43,PERSALDATA!$D$2:$D$20871,WORKING!B43,PERSALDATA!$E$2:$E$20871,WORKING!C43,PERSALDATA!$F$2:$F$20871,"S&amp;W: BASIC SALARY (RES)")</f>
        <v>12</v>
      </c>
      <c r="AC43" s="2">
        <f>SUMIFS(PERSALDATA!$H$2:$H$20871,PERSALDATA!$A$2:$A$20871,WORKING!A43,PERSALDATA!$D$2:$D$20871,WORKING!B43,PERSALDATA!$E$2:$E$20871,WORKING!C43)</f>
        <v>3550202.29</v>
      </c>
    </row>
    <row r="44" spans="1:29" x14ac:dyDescent="0.25">
      <c r="A44" s="2">
        <f>Results!$D$3</f>
        <v>38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0.75568255404427975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6.2970848469143387E-2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2.7392043088491708E-2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0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3.0202494378101349E-2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9.8238192485513701E-2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2.5320297096644864E-2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1.9357043782534136E-4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0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0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7.4341039646568061E-2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7.0179116984786599E-2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6.9179116984786626E-2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6.7179116984786624E-2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1.4133178381433725E-2</v>
      </c>
      <c r="AB44" s="2">
        <f>SUMIFS(PERSALDATA!$G$2:$G$20871,PERSALDATA!$A$2:$A$20871,WORKING!A44,PERSALDATA!$D$2:$D$20871,WORKING!B44,PERSALDATA!$E$2:$E$20871,WORKING!C44,PERSALDATA!$F$2:$F$20871,"S&amp;W: BASIC SALARY (RES)")</f>
        <v>5</v>
      </c>
      <c r="AC44" s="2">
        <f>SUMIFS(PERSALDATA!$H$2:$H$20871,PERSALDATA!$A$2:$A$20871,WORKING!A44,PERSALDATA!$D$2:$D$20871,WORKING!B44,PERSALDATA!$E$2:$E$20871,WORKING!C44)</f>
        <v>1807094.1199999999</v>
      </c>
    </row>
    <row r="45" spans="1:29" x14ac:dyDescent="0.25">
      <c r="A45" s="2">
        <f>Results!$D$3</f>
        <v>38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0.73973852129061157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7.1188000934240644E-2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2.3646381704346464E-2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0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3.7669254868329526E-2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9.616556287451547E-2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3.1429627517536543E-2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1.6265081041973666E-4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0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0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7.4730244558626285E-2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7.0328575005981497E-2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6.9328575005981483E-2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6.7328575005981481E-2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1.4077825689253563E-2</v>
      </c>
      <c r="AB45" s="2">
        <f>SUMIFS(PERSALDATA!$G$2:$G$20871,PERSALDATA!$A$2:$A$20871,WORKING!A45,PERSALDATA!$D$2:$D$20871,WORKING!B45,PERSALDATA!$E$2:$E$20871,WORKING!C45,PERSALDATA!$F$2:$F$20871,"S&amp;W: BASIC SALARY (RES)")</f>
        <v>8</v>
      </c>
      <c r="AC45" s="2">
        <f>SUMIFS(PERSALDATA!$H$2:$H$20871,PERSALDATA!$A$2:$A$20871,WORKING!A45,PERSALDATA!$D$2:$D$20871,WORKING!B45,PERSALDATA!$E$2:$E$20871,WORKING!C45)</f>
        <v>3691896.7600000002</v>
      </c>
    </row>
    <row r="46" spans="1:29" x14ac:dyDescent="0.25">
      <c r="A46" s="2">
        <f>Results!$D$3</f>
        <v>38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0.7275705755840769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6.0765521623740937E-2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1.4988848340661587E-2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0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2.0052624765457026E-2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9.458388717444477E-2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1.6366782226207275E-2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1.4308652649880688E-4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6.287153954788495E-2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2.6571342110275043E-3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7.5141584272826106E-2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7.0150900888075213E-2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6.915090088807524E-2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6.7150900888075224E-2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1.4472231605510734E-2</v>
      </c>
      <c r="AB46" s="2">
        <f>SUMIFS(PERSALDATA!$G$2:$G$20871,PERSALDATA!$A$2:$A$20871,WORKING!A46,PERSALDATA!$D$2:$D$20871,WORKING!B46,PERSALDATA!$E$2:$E$20871,WORKING!C46,PERSALDATA!$F$2:$F$20871,"S&amp;W: BASIC SALARY (RES)")</f>
        <v>7</v>
      </c>
      <c r="AC46" s="2">
        <f>SUMIFS(PERSALDATA!$H$2:$H$20871,PERSALDATA!$A$2:$A$20871,WORKING!A46,PERSALDATA!$D$2:$D$20871,WORKING!B46,PERSALDATA!$E$2:$E$20871,WORKING!C46)</f>
        <v>3422544.4700000007</v>
      </c>
    </row>
    <row r="47" spans="1:29" x14ac:dyDescent="0.25">
      <c r="A47" s="2">
        <f>Results!$D$3</f>
        <v>38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0.70094203866351423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4.4782796718964374E-2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1.2522714087820781E-2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2.7487827664082705E-4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8.8883227598018748E-3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8.358284859674231E-2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1.5784009096393044E-2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1.1604685346922297E-4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0.13028156580231812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2.8247791443352377E-3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1.4677093744483621E-2</v>
      </c>
      <c r="AB47" s="2">
        <f>SUMIFS(PERSALDATA!$G$2:$G$20871,PERSALDATA!$A$2:$A$20871,WORKING!A47,PERSALDATA!$D$2:$D$20871,WORKING!B47,PERSALDATA!$E$2:$E$20871,WORKING!C47,PERSALDATA!$F$2:$F$20871,"S&amp;W: BASIC SALARY (RES)")</f>
        <v>15</v>
      </c>
      <c r="AC47" s="2">
        <f>SUMIFS(PERSALDATA!$H$2:$H$20871,PERSALDATA!$A$2:$A$20871,WORKING!A47,PERSALDATA!$D$2:$D$20871,WORKING!B47,PERSALDATA!$E$2:$E$20871,WORKING!C47)</f>
        <v>8741469.2400000002</v>
      </c>
    </row>
    <row r="48" spans="1:29" x14ac:dyDescent="0.25">
      <c r="A48" s="2">
        <f>Results!$D$3</f>
        <v>38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0.67372795966318111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4.4731051543058384E-2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3.5347472292197213E-3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0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1.6427223841609887E-2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8.7584436702693114E-2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2.972254494665064E-2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8.860567005062727E-5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0.13843998135022847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5.7434490533078419E-3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1.4699241348886793E-2</v>
      </c>
      <c r="AB48" s="2">
        <f>SUMIFS(PERSALDATA!$G$2:$G$20871,PERSALDATA!$A$2:$A$20871,WORKING!A48,PERSALDATA!$D$2:$D$20871,WORKING!B48,PERSALDATA!$E$2:$E$20871,WORKING!C48,PERSALDATA!$F$2:$F$20871,"S&amp;W: BASIC SALARY (RES)")</f>
        <v>9</v>
      </c>
      <c r="AC48" s="2">
        <f>SUMIFS(PERSALDATA!$H$2:$H$20871,PERSALDATA!$A$2:$A$20871,WORKING!A48,PERSALDATA!$D$2:$D$20871,WORKING!B48,PERSALDATA!$E$2:$E$20871,WORKING!C48)</f>
        <v>7764062.9500000011</v>
      </c>
    </row>
    <row r="49" spans="1:29" x14ac:dyDescent="0.25">
      <c r="A49" s="2">
        <f>Results!$D$3</f>
        <v>38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0.64257650555668711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4.3856926008552351E-2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1.4200161978208578E-2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5.84096819266962E-3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7.4713291343669691E-2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1.491771490591056E-2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7.5316981421481215E-5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0.19576076136799872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8.0583536648820564E-3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1.4698253292715506E-2</v>
      </c>
      <c r="AB49" s="2">
        <f>SUMIFS(PERSALDATA!$G$2:$G$20871,PERSALDATA!$A$2:$A$20871,WORKING!A49,PERSALDATA!$D$2:$D$20871,WORKING!B49,PERSALDATA!$E$2:$E$20871,WORKING!C49,PERSALDATA!$F$2:$F$20871,"S&amp;W: BASIC SALARY (RES)")</f>
        <v>11</v>
      </c>
      <c r="AC49" s="2">
        <f>SUMIFS(PERSALDATA!$H$2:$H$20871,PERSALDATA!$A$2:$A$20871,WORKING!A49,PERSALDATA!$D$2:$D$20871,WORKING!B49,PERSALDATA!$E$2:$E$20871,WORKING!C49)</f>
        <v>9443554.2499999981</v>
      </c>
    </row>
    <row r="50" spans="1:29" x14ac:dyDescent="0.25">
      <c r="A50" s="2">
        <f>Results!$D$3</f>
        <v>38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0.66134552449109296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5.4259937999040019E-2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3.1030945342534592E-2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4.4624489418807227E-3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7.8191092257495376E-2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1.2463165332253553E-2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5.9204337229568364E-5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0.15038651974448447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7.8011615539887516E-3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1.4466711020675326E-2</v>
      </c>
      <c r="AB50" s="2">
        <f>SUMIFS(PERSALDATA!$G$2:$G$20871,PERSALDATA!$A$2:$A$20871,WORKING!A50,PERSALDATA!$D$2:$D$20871,WORKING!B50,PERSALDATA!$E$2:$E$20871,WORKING!C50,PERSALDATA!$F$2:$F$20871,"S&amp;W: BASIC SALARY (RES)")</f>
        <v>10</v>
      </c>
      <c r="AC50" s="2">
        <f>SUMIFS(PERSALDATA!$H$2:$H$20871,PERSALDATA!$A$2:$A$20871,WORKING!A50,PERSALDATA!$D$2:$D$20871,WORKING!B50,PERSALDATA!$E$2:$E$20871,WORKING!C50)</f>
        <v>10339614.1</v>
      </c>
    </row>
    <row r="51" spans="1:29" x14ac:dyDescent="0.25">
      <c r="A51" s="2">
        <f>Results!$D$3</f>
        <v>38</v>
      </c>
      <c r="B51" s="2">
        <v>3</v>
      </c>
      <c r="C51" s="2">
        <v>15</v>
      </c>
      <c r="D51" s="62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>0.61878383437762874</v>
      </c>
      <c r="E51" s="62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>5.5991564757103318E-2</v>
      </c>
      <c r="F51" s="62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>1.8654128069236844E-2</v>
      </c>
      <c r="G51" s="69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>0</v>
      </c>
      <c r="H51" s="62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>2.419175264156788E-3</v>
      </c>
      <c r="I51" s="62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>8.0441771973907519E-2</v>
      </c>
      <c r="J51" s="62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>0</v>
      </c>
      <c r="K51" s="62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>4.9117682850864934E-5</v>
      </c>
      <c r="L51" s="62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>0</v>
      </c>
      <c r="M51" s="62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>0.17735197123728183</v>
      </c>
      <c r="N51" s="62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>1.7183365794212171E-2</v>
      </c>
      <c r="O51" s="62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>2.9125070843621897E-2</v>
      </c>
      <c r="P51" s="62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>0</v>
      </c>
      <c r="Q51" s="62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>0</v>
      </c>
      <c r="R51" s="62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>0</v>
      </c>
      <c r="S51" s="62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>0</v>
      </c>
      <c r="T51" s="62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>0</v>
      </c>
      <c r="U51" s="62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>0</v>
      </c>
      <c r="V51" s="62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>0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1.4683163684756332E-2</v>
      </c>
      <c r="AB51" s="2">
        <f>SUMIFS(PERSALDATA!$G$2:$G$20871,PERSALDATA!$A$2:$A$20871,WORKING!A51,PERSALDATA!$D$2:$D$20871,WORKING!B51,PERSALDATA!$E$2:$E$20871,WORKING!C51,PERSALDATA!$F$2:$F$20871,"S&amp;W: BASIC SALARY (RES)")</f>
        <v>2</v>
      </c>
      <c r="AC51" s="2">
        <f>SUMIFS(PERSALDATA!$H$2:$H$20871,PERSALDATA!$A$2:$A$20871,WORKING!A51,PERSALDATA!$D$2:$D$20871,WORKING!B51,PERSALDATA!$E$2:$E$20871,WORKING!C51)</f>
        <v>3323446.68</v>
      </c>
    </row>
    <row r="52" spans="1:29" x14ac:dyDescent="0.25">
      <c r="A52" s="2">
        <f>Results!$D$3</f>
        <v>38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38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38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38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38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38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38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0.71818944665114737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5.6986729541237256E-2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6.5078992338575614E-2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0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4.2489867497880342E-2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8.9396997425738464E-2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2.7481567214732494E-2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3.763993306883887E-4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0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0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0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0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7.1648854727238573E-2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6.9986558089082454E-2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6.8986558089082453E-2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6.6986558089082451E-2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1.3380821112492832E-2</v>
      </c>
      <c r="AB58" s="2">
        <f>SUMIFS(PERSALDATA!$G$2:$G$20871,PERSALDATA!$A$2:$A$20871,WORKING!A58,PERSALDATA!$D$2:$D$20871,WORKING!B58,PERSALDATA!$E$2:$E$20871,WORKING!C58,PERSALDATA!$F$2:$F$20871,"S&amp;W: BASIC SALARY (RES)")</f>
        <v>2</v>
      </c>
      <c r="AC58" s="2">
        <f>SUMIFS(PERSALDATA!$H$2:$H$20871,PERSALDATA!$A$2:$A$20871,WORKING!A58,PERSALDATA!$D$2:$D$20871,WORKING!B58,PERSALDATA!$E$2:$E$20871,WORKING!C58)</f>
        <v>387221.73000000004</v>
      </c>
    </row>
    <row r="59" spans="1:29" x14ac:dyDescent="0.25">
      <c r="A59" s="2">
        <f>Results!$D$3</f>
        <v>38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0.9995874780117997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0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0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0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0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0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0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4.1252198820031444E-4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0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0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0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7.5999999999999998E-2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7.0000000000000007E-2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6.900000000000002E-2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6.7000000000000004E-2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1.4993812170176994E-2</v>
      </c>
      <c r="AB59" s="2">
        <f>SUMIFS(PERSALDATA!$G$2:$G$20871,PERSALDATA!$A$2:$A$20871,WORKING!A59,PERSALDATA!$D$2:$D$20871,WORKING!B59,PERSALDATA!$E$2:$E$20871,WORKING!C59,PERSALDATA!$F$2:$F$20871,"S&amp;W: BASIC SALARY (RES)")</f>
        <v>0</v>
      </c>
      <c r="AC59" s="2">
        <f>SUMIFS(PERSALDATA!$H$2:$H$20871,PERSALDATA!$A$2:$A$20871,WORKING!A59,PERSALDATA!$D$2:$D$20871,WORKING!B59,PERSALDATA!$E$2:$E$20871,WORKING!C59)</f>
        <v>14132.58</v>
      </c>
    </row>
    <row r="60" spans="1:29" x14ac:dyDescent="0.25">
      <c r="A60" s="2">
        <f>Results!$D$3</f>
        <v>38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0.72749202210903041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5.9793176122549106E-2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3.9474928932204584E-2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3.1572894051311485E-4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5.2529460241282355E-2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9.4664513779233073E-2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2.548359255125009E-2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2.465773239372351E-4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0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0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0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7.3735317844530399E-2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7.039319261429719E-2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6.9393192614297203E-2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6.7393192614297187E-2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1.3616235502538635E-2</v>
      </c>
      <c r="AB60" s="2">
        <f>SUMIFS(PERSALDATA!$G$2:$G$20871,PERSALDATA!$A$2:$A$20871,WORKING!A60,PERSALDATA!$D$2:$D$20871,WORKING!B60,PERSALDATA!$E$2:$E$20871,WORKING!C60,PERSALDATA!$F$2:$F$20871,"S&amp;W: BASIC SALARY (RES)")</f>
        <v>9</v>
      </c>
      <c r="AC60" s="2">
        <f>SUMIFS(PERSALDATA!$H$2:$H$20871,PERSALDATA!$A$2:$A$20871,WORKING!A60,PERSALDATA!$D$2:$D$20871,WORKING!B60,PERSALDATA!$E$2:$E$20871,WORKING!C60)</f>
        <v>2553519.48</v>
      </c>
    </row>
    <row r="61" spans="1:29" x14ac:dyDescent="0.25">
      <c r="A61" s="2">
        <f>Results!$D$3</f>
        <v>38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0.73477124418386031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6.1405486571515129E-2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3.5817568930893946E-2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0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4.547993416353803E-2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9.5519696203339749E-2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2.6810686155631969E-2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1.9538379122068926E-4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0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0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0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7.3914583839541581E-2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7.0324023323144122E-2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6.9324023323144121E-2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6.7324023323144119E-2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1.3777606696715208E-2</v>
      </c>
      <c r="AB61" s="2">
        <f>SUMIFS(PERSALDATA!$G$2:$G$20871,PERSALDATA!$A$2:$A$20871,WORKING!A61,PERSALDATA!$D$2:$D$20871,WORKING!B61,PERSALDATA!$E$2:$E$20871,WORKING!C61,PERSALDATA!$F$2:$F$20871,"S&amp;W: BASIC SALARY (RES)")</f>
        <v>4</v>
      </c>
      <c r="AC61" s="2">
        <f>SUMIFS(PERSALDATA!$H$2:$H$20871,PERSALDATA!$A$2:$A$20871,WORKING!A61,PERSALDATA!$D$2:$D$20871,WORKING!B61,PERSALDATA!$E$2:$E$20871,WORKING!C61)</f>
        <v>1432258.0100000002</v>
      </c>
    </row>
    <row r="62" spans="1:29" x14ac:dyDescent="0.25">
      <c r="A62" s="2">
        <f>Results!$D$3</f>
        <v>38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0.74681934196760957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6.345703892743923E-2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3.2688270505405681E-2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0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2.2530593879228327E-2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9.7126963798957064E-2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2.0513421942799634E-2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1.7587758221657759E-4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0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0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1.6688491396343999E-2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7.3831119755898372E-2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7.001107620313439E-2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6.9011076203134375E-2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6.7011076203134387E-2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1.4169078870497242E-2</v>
      </c>
      <c r="AB62" s="2">
        <f>SUMIFS(PERSALDATA!$G$2:$G$20871,PERSALDATA!$A$2:$A$20871,WORKING!A62,PERSALDATA!$D$2:$D$20871,WORKING!B62,PERSALDATA!$E$2:$E$20871,WORKING!C62,PERSALDATA!$F$2:$F$20871,"S&amp;W: BASIC SALARY (RES)")</f>
        <v>11</v>
      </c>
      <c r="AC62" s="2">
        <f>SUMIFS(PERSALDATA!$H$2:$H$20871,PERSALDATA!$A$2:$A$20871,WORKING!A62,PERSALDATA!$D$2:$D$20871,WORKING!B62,PERSALDATA!$E$2:$E$20871,WORKING!C62)</f>
        <v>5038504.5599999996</v>
      </c>
    </row>
    <row r="63" spans="1:29" x14ac:dyDescent="0.25">
      <c r="A63" s="2">
        <f>Results!$D$3</f>
        <v>38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0.75318826964486352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6.8413841692424288E-2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1.8595021225978333E-2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0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3.6858329069647089E-2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9.7914086806136322E-2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2.4899407746530548E-2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1.3104381441999893E-4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0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0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0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0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0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0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7.5102794993800709E-2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7.0366924723784946E-2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6.9366924723784917E-2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6.7366924723784929E-2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1.4166234088349319E-2</v>
      </c>
      <c r="AB63" s="2">
        <f>SUMIFS(PERSALDATA!$G$2:$G$20871,PERSALDATA!$A$2:$A$20871,WORKING!A63,PERSALDATA!$D$2:$D$20871,WORKING!B63,PERSALDATA!$E$2:$E$20871,WORKING!C63,PERSALDATA!$F$2:$F$20871,"S&amp;W: BASIC SALARY (RES)")</f>
        <v>3</v>
      </c>
      <c r="AC63" s="2">
        <f>SUMIFS(PERSALDATA!$H$2:$H$20871,PERSALDATA!$A$2:$A$20871,WORKING!A63,PERSALDATA!$D$2:$D$20871,WORKING!B63,PERSALDATA!$E$2:$E$20871,WORKING!C63)</f>
        <v>1468134.92</v>
      </c>
    </row>
    <row r="64" spans="1:29" x14ac:dyDescent="0.25">
      <c r="A64" s="2">
        <f>Results!$D$3</f>
        <v>38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0.70347504497946634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6.0796882669812792E-2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6.5638531523915574E-3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0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1.0700987774866675E-2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9.0509781651326268E-2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2.8155534344752497E-2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1.138124983801776E-4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9.8016860201380035E-2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0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1.6672427276235933E-3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1.4739320198615423E-2</v>
      </c>
      <c r="AB64" s="2">
        <f>SUMIFS(PERSALDATA!$G$2:$G$20871,PERSALDATA!$A$2:$A$20871,WORKING!A64,PERSALDATA!$D$2:$D$20871,WORKING!B64,PERSALDATA!$E$2:$E$20871,WORKING!C64,PERSALDATA!$F$2:$F$20871,"S&amp;W: BASIC SALARY (RES)")</f>
        <v>8</v>
      </c>
      <c r="AC64" s="2">
        <f>SUMIFS(PERSALDATA!$H$2:$H$20871,PERSALDATA!$A$2:$A$20871,WORKING!A64,PERSALDATA!$D$2:$D$20871,WORKING!B64,PERSALDATA!$E$2:$E$20871,WORKING!C64)</f>
        <v>5327358.6700000009</v>
      </c>
    </row>
    <row r="65" spans="1:29" x14ac:dyDescent="0.25">
      <c r="A65" s="2">
        <f>Results!$D$3</f>
        <v>38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0.67464935253472891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5.9207174990658702E-2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1.0584964568843582E-2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0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1.6935943310149731E-2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8.7704196725195638E-2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2.4960485004143929E-2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8.8157633480511526E-5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8.8095133267450221E-2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3.7774591965348769E-2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0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1.4585864017312893E-2</v>
      </c>
      <c r="AB65" s="2">
        <f>SUMIFS(PERSALDATA!$G$2:$G$20871,PERSALDATA!$A$2:$A$20871,WORKING!A65,PERSALDATA!$D$2:$D$20871,WORKING!B65,PERSALDATA!$E$2:$E$20871,WORKING!C65,PERSALDATA!$F$2:$F$20871,"S&amp;W: BASIC SALARY (RES)")</f>
        <v>6</v>
      </c>
      <c r="AC65" s="2">
        <f>SUMIFS(PERSALDATA!$H$2:$H$20871,PERSALDATA!$A$2:$A$20871,WORKING!A65,PERSALDATA!$D$2:$D$20871,WORKING!B65,PERSALDATA!$E$2:$E$20871,WORKING!C65)</f>
        <v>4496944.6700000009</v>
      </c>
    </row>
    <row r="66" spans="1:29" x14ac:dyDescent="0.25">
      <c r="A66" s="2">
        <f>Results!$D$3</f>
        <v>38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0.61905711821922671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4.9779196414854669E-2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2.087524151388007E-2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1.0718933061776509E-2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8.4244876203631025E-2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2.486010193753092E-2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7.3822161884688948E-5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0.18547324683233937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0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4.9174636548758163E-3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1.4524980048936877E-2</v>
      </c>
      <c r="AB66" s="2">
        <f>SUMIFS(PERSALDATA!$G$2:$G$20871,PERSALDATA!$A$2:$A$20871,WORKING!A66,PERSALDATA!$D$2:$D$20871,WORKING!B66,PERSALDATA!$E$2:$E$20871,WORKING!C66,PERSALDATA!$F$2:$F$20871,"S&amp;W: BASIC SALARY (RES)")</f>
        <v>5</v>
      </c>
      <c r="AC66" s="2">
        <f>SUMIFS(PERSALDATA!$H$2:$H$20871,PERSALDATA!$A$2:$A$20871,WORKING!A66,PERSALDATA!$D$2:$D$20871,WORKING!B66,PERSALDATA!$E$2:$E$20871,WORKING!C66)</f>
        <v>4816710.74</v>
      </c>
    </row>
    <row r="67" spans="1:29" x14ac:dyDescent="0.25">
      <c r="A67" s="2">
        <f>Results!$D$3</f>
        <v>38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0.64625642000871375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5.3854701667392813E-2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0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0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8.4013183161053467E-2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0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6.405530804116149E-5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0.20727841713803613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8.5332227167626926E-3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1.4999039170379381E-2</v>
      </c>
      <c r="AB67" s="2">
        <f>SUMIFS(PERSALDATA!$G$2:$G$20871,PERSALDATA!$A$2:$A$20871,WORKING!A67,PERSALDATA!$D$2:$D$20871,WORKING!B67,PERSALDATA!$E$2:$E$20871,WORKING!C67,PERSALDATA!$F$2:$F$20871,"S&amp;W: BASIC SALARY (RES)")</f>
        <v>2</v>
      </c>
      <c r="AC67" s="2">
        <f>SUMIFS(PERSALDATA!$H$2:$H$20871,PERSALDATA!$A$2:$A$20871,WORKING!A67,PERSALDATA!$D$2:$D$20871,WORKING!B67,PERSALDATA!$E$2:$E$20871,WORKING!C67)</f>
        <v>2184362.2999999998</v>
      </c>
    </row>
    <row r="68" spans="1:29" x14ac:dyDescent="0.25">
      <c r="A68" s="2">
        <f>Results!$D$3</f>
        <v>38</v>
      </c>
      <c r="B68" s="2">
        <v>4</v>
      </c>
      <c r="C68" s="2">
        <v>15</v>
      </c>
      <c r="D68" s="62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>0.69996571202825575</v>
      </c>
      <c r="E68" s="62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>0</v>
      </c>
      <c r="F68" s="62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>0</v>
      </c>
      <c r="G68" s="69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>0</v>
      </c>
      <c r="H68" s="62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>0</v>
      </c>
      <c r="I68" s="62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>0</v>
      </c>
      <c r="J68" s="62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>0</v>
      </c>
      <c r="K68" s="62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>4.8982816777463324E-5</v>
      </c>
      <c r="L68" s="62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>0</v>
      </c>
      <c r="M68" s="62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>0.29998530515496674</v>
      </c>
      <c r="N68" s="62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>0</v>
      </c>
      <c r="O68" s="62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>0</v>
      </c>
      <c r="P68" s="62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>0</v>
      </c>
      <c r="Q68" s="62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>0</v>
      </c>
      <c r="R68" s="62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>0</v>
      </c>
      <c r="S68" s="62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>0</v>
      </c>
      <c r="T68" s="62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>0</v>
      </c>
      <c r="U68" s="62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>0</v>
      </c>
      <c r="V68" s="62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>0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1.4999265257748338E-2</v>
      </c>
      <c r="AB68" s="2">
        <f>SUMIFS(PERSALDATA!$G$2:$G$20871,PERSALDATA!$A$2:$A$20871,WORKING!A68,PERSALDATA!$D$2:$D$20871,WORKING!B68,PERSALDATA!$E$2:$E$20871,WORKING!C68,PERSALDATA!$F$2:$F$20871,"S&amp;W: BASIC SALARY (RES)")</f>
        <v>1</v>
      </c>
      <c r="AC68" s="2">
        <f>SUMIFS(PERSALDATA!$H$2:$H$20871,PERSALDATA!$A$2:$A$20871,WORKING!A68,PERSALDATA!$D$2:$D$20871,WORKING!B68,PERSALDATA!$E$2:$E$20871,WORKING!C68)</f>
        <v>238042.66000000003</v>
      </c>
    </row>
    <row r="69" spans="1:29" x14ac:dyDescent="0.25">
      <c r="A69" s="2">
        <f>Results!$D$3</f>
        <v>38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38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38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38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38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38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38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38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38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38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38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38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38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38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38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38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38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38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38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38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38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38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38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38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38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38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38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38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38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38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38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38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38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38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38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38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38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38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38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38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38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38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38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38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38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38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38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38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38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38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38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38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38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38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38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38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38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38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38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38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38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38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38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38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38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38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38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38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38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38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38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38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38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38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38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38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38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38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38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38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38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38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38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38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38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38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38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38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38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38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38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38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38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38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38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38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38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38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38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38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38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38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38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38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38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38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38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38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38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38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38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38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38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38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38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38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38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38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38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38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38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38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38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38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38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38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38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38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38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38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38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38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38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38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38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38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38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38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38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38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38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38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38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38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38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38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38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38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38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38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38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38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38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38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38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38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38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38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38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38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38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38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38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38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38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38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38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38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38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38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38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38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38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38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38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38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38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38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38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38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38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38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38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38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38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38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38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38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38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38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38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38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38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38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38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38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38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38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38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38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38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38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38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38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38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38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38</v>
      </c>
      <c r="E3" s="74" t="str">
        <f>INDEX(MAPs!$I$7:$J$54,MATCH(Results!$D$3,MAPs!$I$7:$I$54,0),2)</f>
        <v>Human Settlements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8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194.77988165680472</v>
      </c>
      <c r="N9" s="148">
        <f>IFERROR(SUMIFS('Employee Profile (2)'!C$4:C$50,'Employee Profile (2)'!$B$4:$B$50,Results!$D$3),"")</f>
        <v>0.29467455621301775</v>
      </c>
      <c r="O9" s="150" t="s">
        <v>620</v>
      </c>
      <c r="P9" s="143">
        <f>IFERROR(INDEX('Employee Profile (2)'!$AC$4:$AC$50,MATCH(Results!$D$3,'Employee Profile (2)'!$B$4:$B$50,0))*$Q9,"")</f>
        <v>504.55029585798815</v>
      </c>
      <c r="Q9" s="148">
        <f>IFERROR(SUMIFS('Employee Profile (2)'!J$4:J$50,'Employee Profile (2)'!$B$4:$B$50,Results!$D$3),"")</f>
        <v>0.76331360946745563</v>
      </c>
      <c r="R9" s="150" t="s">
        <v>627</v>
      </c>
      <c r="S9" s="144">
        <f>IFERROR(INDEX('Employee Profile (2)'!$AC$4:$AC$50,MATCH(Results!$D$3,'Employee Profile (2)'!$B$4:$B$50,0))*$T9,"")</f>
        <v>25.031952662721896</v>
      </c>
      <c r="T9" s="147">
        <f>IFERROR(SUMIFS('Employee Profile (2)'!N$4:N$50,'Employee Profile (2)'!$B$4:$B$50,Results!$D$3),"")</f>
        <v>3.7869822485207101E-2</v>
      </c>
      <c r="U9" s="150" t="s">
        <v>632</v>
      </c>
      <c r="V9" s="144">
        <f>IFERROR(INDEX('Employee Profile (2)'!$AC$4:$AC$50,MATCH(Results!$D$3,'Employee Profile (2)'!$B$4:$B$50,0))*$W9,"")</f>
        <v>294.90769230769234</v>
      </c>
      <c r="W9" s="147">
        <f>IFERROR(SUMIFS('Employee Profile (2)'!S$4:S$50,'Employee Profile (2)'!$B$4:$B$50,Results!$D$3),"")</f>
        <v>0.44615384615384618</v>
      </c>
      <c r="X9" s="150" t="s">
        <v>635</v>
      </c>
      <c r="Y9" s="144">
        <f>IFERROR(INDEX('Employee Profile (2)'!$AC$4:$AC$50,MATCH(Results!$D$3,'Employee Profile (2)'!$B$4:$B$50,0))*$Z9,"")</f>
        <v>454.48639053254442</v>
      </c>
      <c r="Z9" s="147">
        <f>IFERROR(SUMIFS('Employee Profile (2)'!V$4:V$50,'Employee Profile (2)'!$B$4:$B$50,Results!$D$3),"")</f>
        <v>0.68757396449704145</v>
      </c>
      <c r="AA9" s="150" t="s">
        <v>675</v>
      </c>
      <c r="AB9" s="144">
        <f>IFERROR(SUMIFS('Employee Profile (2)'!$AD$4:$AD$50,'Employee Profile (2)'!$B$4:$B$50,Results!$D$3),"")</f>
        <v>461</v>
      </c>
      <c r="AC9" s="147">
        <f>IFERROR(SUMIFS('Employee Profile (2)'!$AE$4:$AE$50,'Employee Profile (2)'!$B$4:$B$50,Results!$D$3),"")</f>
        <v>0.69742813918305602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21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237.80355029585797</v>
      </c>
      <c r="N10" s="148">
        <f>IFERROR(SUMIFS('Employee Profile (2)'!D$4:D$50,'Employee Profile (2)'!$B$4:$B$50,Results!$D$3),"")</f>
        <v>0.35976331360946745</v>
      </c>
      <c r="O10" s="150" t="s">
        <v>621</v>
      </c>
      <c r="P10" s="143">
        <f>IFERROR(INDEX('Employee Profile (2)'!$AC$4:$AC$50,MATCH(Results!$D$3,'Employee Profile (2)'!$B$4:$B$50,0))*$Q10,"")</f>
        <v>113.42603550295857</v>
      </c>
      <c r="Q10" s="148">
        <f>IFERROR(SUMIFS('Employee Profile (2)'!K$4:K$50,'Employee Profile (2)'!$B$4:$B$50,Results!$D$3),"")</f>
        <v>0.17159763313609466</v>
      </c>
      <c r="R10" s="150" t="s">
        <v>628</v>
      </c>
      <c r="S10" s="144">
        <f>IFERROR(INDEX('Employee Profile (2)'!$AC$4:$AC$50,MATCH(Results!$D$3,'Employee Profile (2)'!$B$4:$B$50,0))*$T10,"")</f>
        <v>147.06272189349113</v>
      </c>
      <c r="T10" s="147">
        <f>IFERROR(SUMIFS('Employee Profile (2)'!O$4:O$50,'Employee Profile (2)'!$B$4:$B$50,Results!$D$3),"")</f>
        <v>0.22248520710059172</v>
      </c>
      <c r="U10" s="150" t="s">
        <v>633</v>
      </c>
      <c r="V10" s="144">
        <f>IFERROR(INDEX('Employee Profile (2)'!$AC$4:$AC$50,MATCH(Results!$D$3,'Employee Profile (2)'!$B$4:$B$50,0))*$W10,"")</f>
        <v>220.59408284023669</v>
      </c>
      <c r="W10" s="147">
        <f>IFERROR(SUMIFS('Employee Profile (2)'!T$4:T$50,'Employee Profile (2)'!$B$4:$B$50,Results!$D$3),"")</f>
        <v>0.33372781065088758</v>
      </c>
      <c r="X10" s="150" t="s">
        <v>636</v>
      </c>
      <c r="Y10" s="144">
        <f>IFERROR(INDEX('Employee Profile (2)'!$AC$4:$AC$50,MATCH(Results!$D$3,'Employee Profile (2)'!$B$4:$B$50,0))*$Z10,"")</f>
        <v>17.99171597633136</v>
      </c>
      <c r="Z10" s="147">
        <f>IFERROR(SUMIFS('Employee Profile (2)'!W$4:W$50,'Employee Profile (2)'!$B$4:$B$50,Results!$D$3),"")</f>
        <v>2.7218934911242602E-2</v>
      </c>
      <c r="AA10" s="150" t="s">
        <v>676</v>
      </c>
      <c r="AB10" s="144">
        <f>IFERROR(INDEX('Employee Profile (2)'!$AC$4:$AC$50,MATCH(Results!$D$3,'Employee Profile (2)'!$B$4:$B$50))-$AB$9,"")</f>
        <v>200</v>
      </c>
      <c r="AC10" s="147">
        <f>IFERROR(100%-$AC$9,"")</f>
        <v>0.30257186081694398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22</v>
      </c>
      <c r="H11" s="158">
        <v>0</v>
      </c>
      <c r="I11" s="158">
        <v>5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37.547928994082838</v>
      </c>
      <c r="N11" s="148">
        <f>IFERROR(SUMIFS('Employee Profile (2)'!E$4:E$50,'Employee Profile (2)'!$B$4:$B$50,Results!$D$3),"")</f>
        <v>5.6804733727810648E-2</v>
      </c>
      <c r="O11" s="150" t="s">
        <v>622</v>
      </c>
      <c r="P11" s="143">
        <f>IFERROR(INDEX('Employee Profile (2)'!$AC$4:$AC$50,MATCH(Results!$D$3,'Employee Profile (2)'!$B$4:$B$50,0))*$Q11,"")</f>
        <v>28.160946745562129</v>
      </c>
      <c r="Q11" s="148">
        <f>IFERROR(SUMIFS('Employee Profile (2)'!L$4:L$50,'Employee Profile (2)'!$B$4:$B$50,Results!$D$3),"")</f>
        <v>4.2603550295857988E-2</v>
      </c>
      <c r="R11" s="150" t="s">
        <v>629</v>
      </c>
      <c r="S11" s="144">
        <f>IFERROR(INDEX('Employee Profile (2)'!$AC$4:$AC$50,MATCH(Results!$D$3,'Employee Profile (2)'!$B$4:$B$50,0))*$T11,"")</f>
        <v>171.31242603550299</v>
      </c>
      <c r="T11" s="147">
        <f>IFERROR(SUMIFS('Employee Profile (2)'!P$4:P$50,'Employee Profile (2)'!$B$4:$B$50,Results!$D$3),"")</f>
        <v>0.25917159763313613</v>
      </c>
      <c r="U11" s="150" t="s">
        <v>53</v>
      </c>
      <c r="V11" s="144">
        <f>IFERROR(INDEX('Employee Profile (2)'!$AC$4:$AC$50,MATCH(Results!$D$3,'Employee Profile (2)'!$B$4:$B$50,0))*$W11,"")</f>
        <v>145.49822485207099</v>
      </c>
      <c r="W11" s="147">
        <f>IFERROR(SUMIFS('Employee Profile (2)'!U$4:U$50,'Employee Profile (2)'!$B$4:$B$50,Results!$D$3),"")</f>
        <v>0.22011834319526627</v>
      </c>
      <c r="X11" s="150" t="s">
        <v>637</v>
      </c>
      <c r="Y11" s="144">
        <f>IFERROR(INDEX('Employee Profile (2)'!$AC$4:$AC$50,MATCH(Results!$D$3,'Employee Profile (2)'!$B$4:$B$50,0))*$Z11,"")</f>
        <v>10.95147928994083</v>
      </c>
      <c r="Z11" s="147">
        <f>IFERROR(SUMIFS('Employee Profile (2)'!X$4:X$50,'Employee Profile (2)'!$B$4:$B$50,Results!$D$3),"")</f>
        <v>1.6568047337278107E-2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4</v>
      </c>
      <c r="H12" s="158">
        <v>2</v>
      </c>
      <c r="I12" s="158">
        <v>4</v>
      </c>
      <c r="J12" s="158">
        <v>2</v>
      </c>
      <c r="L12" s="150" t="s">
        <v>659</v>
      </c>
      <c r="M12" s="143">
        <f>IFERROR(INDEX('Employee Profile (2)'!$AC$4:$AC$50,MATCH(Results!$D$3,'Employee Profile (2)'!$B$4:$B$50,0))*$N12,"")</f>
        <v>32.854437869822483</v>
      </c>
      <c r="N12" s="148">
        <f>IFERROR(SUMIFS('Employee Profile (2)'!F$4:F$50,'Employee Profile (2)'!$B$4:$B$50,Results!$D$3),"")</f>
        <v>4.9704142011834318E-2</v>
      </c>
      <c r="O12" s="150" t="s">
        <v>623</v>
      </c>
      <c r="P12" s="143">
        <f>IFERROR(INDEX('Employee Profile (2)'!$AC$4:$AC$50,MATCH(Results!$D$3,'Employee Profile (2)'!$B$4:$B$50,0))*$Q12,"")</f>
        <v>14.862721893491123</v>
      </c>
      <c r="Q12" s="148">
        <f>IFERROR(SUMIFS('Employee Profile (2)'!M$4:M$50,'Employee Profile (2)'!$B$4:$B$50,Results!$D$3),"")</f>
        <v>2.2485207100591716E-2</v>
      </c>
      <c r="R12" s="150" t="s">
        <v>630</v>
      </c>
      <c r="S12" s="144">
        <f>IFERROR(INDEX('Employee Profile (2)'!$AC$4:$AC$50,MATCH(Results!$D$3,'Employee Profile (2)'!$B$4:$B$50,0))*$T12,"")</f>
        <v>46.934911242603555</v>
      </c>
      <c r="T12" s="147">
        <f>IFERROR(SUMIFS('Employee Profile (2)'!Q$4:Q$50,'Employee Profile (2)'!$B$4:$B$50,Results!$D$3),"")</f>
        <v>7.1005917159763315E-2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32.072189349112428</v>
      </c>
      <c r="Z12" s="147">
        <f>IFERROR(SUMIFS('Employee Profile (2)'!Y$4:Y$50,'Employee Profile (2)'!$B$4:$B$50,Results!$D$3),"")</f>
        <v>4.85207100591716E-2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8</v>
      </c>
      <c r="I13" s="158">
        <v>46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10.95147928994083</v>
      </c>
      <c r="N13" s="148">
        <f>IFERROR(SUMIFS('Employee Profile (2)'!G$4:G$50,'Employee Profile (2)'!$B$4:$B$50,Results!$D$3),"")</f>
        <v>1.6568047337278107E-2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270.65798816568048</v>
      </c>
      <c r="T13" s="147">
        <f>IFERROR(SUMIFS('Employee Profile (2)'!R$4:R$50,'Employee Profile (2)'!$B$4:$B$50,Results!$D$3),"")</f>
        <v>0.40946745562130177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145.49822485207099</v>
      </c>
      <c r="Z13" s="147">
        <f>IFERROR(SUMIFS('Employee Profile (2)'!Z$4:Z$50,'Employee Profile (2)'!$B$4:$B$50,Results!$D$3),"")</f>
        <v>0.22011834319526627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16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1.5644970414201185</v>
      </c>
      <c r="N14" s="148">
        <f>IFERROR(SUMIFS('Employee Profile (2)'!H$4:H$50,'Employee Profile (2)'!$B$4:$B$50,Results!$D$3),"")</f>
        <v>2.3668639053254438E-3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42</v>
      </c>
      <c r="H15" s="112">
        <f t="shared" ref="H15:J15" si="0">SUM(H9:H14)</f>
        <v>10</v>
      </c>
      <c r="I15" s="112">
        <f t="shared" si="0"/>
        <v>84</v>
      </c>
      <c r="J15" s="112">
        <f t="shared" si="0"/>
        <v>2</v>
      </c>
      <c r="L15" s="150" t="s">
        <v>53</v>
      </c>
      <c r="M15" s="143">
        <f>IFERROR(INDEX('Employee Profile (2)'!$AC$4:$AC$50,MATCH(Results!$D$3,'Employee Profile (2)'!$B$4:$B$50,0))*$N15,"")</f>
        <v>145.49822485207099</v>
      </c>
      <c r="N15" s="148">
        <f>IFERROR(SUMIFS('Employee Profile (2)'!I$4:I$50,'Employee Profile (2)'!$B$4:$B$50,Results!$D$3),"")</f>
        <v>0.22011834319526627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42</v>
      </c>
      <c r="H16" s="82">
        <f>SUMIFS($W$64:$W$509,$C$64:$C$509,"Total")</f>
        <v>10</v>
      </c>
      <c r="I16" s="82">
        <f>SUMIFS($AE$64:$AE$509,$C$64:$C$509,"Total")</f>
        <v>84</v>
      </c>
      <c r="J16" s="82">
        <f>SUMIFS($AM$64:$AM$509,$C$64:$C$509,"Total")</f>
        <v>2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460</v>
      </c>
      <c r="G29" s="87">
        <f t="shared" ref="G29:G44" si="4">SUMIFS($K$64:$K$509,$A$64:$A$509,B29,$C$64:$C$509,"Total")</f>
        <v>432.03115254347819</v>
      </c>
      <c r="H29" s="83">
        <f t="shared" ref="H29:H44" si="5">SUMIFS($J$64:$J$509,$A$64:$A$509,B29,$C$64:$C$509,"Total")</f>
        <v>198734.33016999997</v>
      </c>
      <c r="I29" s="21">
        <f t="shared" ref="I29:I44" si="6">-SUMIFS($O$64:$O$509,$A$64:$A$509,$B29,$C$64:$C$509,"Total")+SUMIFS($N$64:$N$509,$A$64:$A$509,$B29,$C$64:$C$509,"Total")</f>
        <v>-21</v>
      </c>
      <c r="J29" s="88">
        <f t="shared" ref="J29:J44" si="7">SUMIFS($P$64:$P$509,$A$64:$A$509,$B29,$C$64:$C$509,"Total")</f>
        <v>439</v>
      </c>
      <c r="K29" s="88">
        <f t="shared" ref="K29:K44" si="8">SUMIFS($M$64:$M$509,$A$64:$A$509,$B29,$C$64:$C$509,"Total")</f>
        <v>459.84309470245591</v>
      </c>
      <c r="L29" s="88">
        <f t="shared" ref="L29:L44" si="9">SUMIFS($R$64:$R$509,$A$64:$A$509,$B29,$C$64:$C$509,"Total")+SUMIFS($Q$64:$Q$509,$A$64:$A$509,$B29,$C$64:$C$509,"Total")</f>
        <v>-11983.190308902786</v>
      </c>
      <c r="M29" s="88">
        <f t="shared" ref="M29:M44" si="10">SUMIFS($S$64:$S$509,$A$64:$A$509,$B29,$C$64:$C$509,"Total")</f>
        <v>201871.11857437814</v>
      </c>
      <c r="N29" s="88">
        <f t="shared" ref="N29:N44" si="11">SUMIFS($S$64:$S$509,$A$64:$A$509,$B29,$C$64:$C$509,"Compensation Budget")</f>
        <v>216458</v>
      </c>
      <c r="O29" s="89">
        <f t="shared" ref="O29:O44" si="12">SUMIFS($S$64:$S$509,$A$64:$A$509,$B29,$C$64:$C$509,"Under/(Over)")</f>
        <v>14586.881425621861</v>
      </c>
      <c r="P29" s="21">
        <f t="shared" ref="P29:P44" si="13">-SUMIFS($W$64:$W$509,$A$64:$A$509,$B29,$C$64:$C$509,"Total")+SUMIFS($V$64:$V$509,$A$64:$A$509,$B29,$C$64:$C$509,"Total")</f>
        <v>-10</v>
      </c>
      <c r="Q29" s="88">
        <f t="shared" ref="Q29:Q44" si="14">SUMIFS($X$64:$X$509,$A$64:$A$509,$B29,$C$64:$C$509,"Total")</f>
        <v>429</v>
      </c>
      <c r="R29" s="88">
        <f t="shared" ref="R29:R44" si="15">SUMIFS($U$64:$U$509,$A$64:$A$509,$B29,$C$64:$C$509,"Total")</f>
        <v>507.27625245467738</v>
      </c>
      <c r="S29" s="88">
        <f t="shared" ref="S29:S44" si="16">SUMIFS($Z$64:$Z$509,$A$64:$A$509,$B29,$C$64:$C$509,"Total")+SUMIFS($Y$64:$Y$509,$A$64:$A$509,$B29,$C$64:$C$509,"Total")</f>
        <v>-842.14416968336286</v>
      </c>
      <c r="T29" s="88">
        <f t="shared" ref="T29:T44" si="17">SUMIFS($AA$64:$AA$509,$A$64:$A$509,$B29,$C$64:$C$509,"Total")</f>
        <v>217621.5123030566</v>
      </c>
      <c r="U29" s="88">
        <f t="shared" ref="U29:U44" si="18">SUMIFS($AA$64:$AA$509,$A$64:$A$509,$B29,$C$64:$C$509,"Compensation Budget")</f>
        <v>233145</v>
      </c>
      <c r="V29" s="89">
        <f t="shared" ref="V29:V44" si="19">SUMIFS($AA$64:$AA$509,$A$64:$A$509,$B29,$C$64:$C$509,"Under/(Over)")</f>
        <v>15523.487696943397</v>
      </c>
      <c r="W29" s="21">
        <f t="shared" ref="W29:W44" si="20">-SUMIFS($AE$64:$AE$509,$A$64:$A$509,$B29,$C$64:$C$509,"Total")+SUMIFS($AD$64:$AD$509,$A$64:$A$509,$B29,$C$64:$C$509,"Total")</f>
        <v>-60</v>
      </c>
      <c r="X29" s="88">
        <f t="shared" ref="X29:X44" si="21">SUMIFS($AF$64:$AF$509,$A$64:$A$509,$B29,$C$64:$C$509,"Total")</f>
        <v>369</v>
      </c>
      <c r="Y29" s="88">
        <f t="shared" ref="Y29:Y44" si="22">SUMIFS($AC$64:$AC$509,$A$64:$A$509,$B29,$C$64:$C$509,"Total")</f>
        <v>568.26594873306135</v>
      </c>
      <c r="Z29" s="88">
        <f t="shared" ref="Z29:Z44" si="23">SUMIFS($AH$64:$AH$509,$A$64:$A$509,$B29,$C$64:$C$509,"Total")+SUMIFS($AG$64:$AG$509,$A$64:$A$509,$B29,$C$64:$C$509,"Total")</f>
        <v>-25598.69908534742</v>
      </c>
      <c r="AA29" s="88">
        <f t="shared" ref="AA29:AA44" si="24">SUMIFS($AI$64:$AI$509,$A$64:$A$509,$B29,$C$64:$C$509,"Total")</f>
        <v>209690.13508249962</v>
      </c>
      <c r="AB29" s="88">
        <f t="shared" ref="AB29:AB44" si="25">SUMIFS($AI$64:$AI$509,$A$64:$A$509,$B29,$C$64:$C$509,"Compensation Budget")</f>
        <v>228846</v>
      </c>
      <c r="AC29" s="89">
        <f t="shared" ref="AC29:AC44" si="26">SUMIFS($AI$64:$AI$509,$A$64:$A$509,$B29,$C$64:$C$509,"Under/(Over)")</f>
        <v>19155.864917500381</v>
      </c>
      <c r="AD29" s="21">
        <f t="shared" ref="AD29:AD44" si="27">-SUMIFS($AM$64:$AM$509,$A$64:$A$509,$B29,$C$64:$C$509,"Total")+SUMIFS($AL$64:$AL$509,$A$64:$A$509,$B29,$C$64:$C$509,"Total")</f>
        <v>-2</v>
      </c>
      <c r="AE29" s="88">
        <f t="shared" ref="AE29:AE44" si="28">SUMIFS($AN$64:$AN$509,$A$64:$A$509,$B29,$C$64:$C$509,"Total")</f>
        <v>367</v>
      </c>
      <c r="AF29" s="88">
        <f t="shared" ref="AF29:AF44" si="29">SUMIFS($AK$64:$AK$509,$A$64:$A$509,$B29,$C$64:$C$509,"Total")</f>
        <v>614.51739359304202</v>
      </c>
      <c r="AG29" s="88">
        <f t="shared" ref="AG29:AG44" si="30">SUMIFS($AP$64:$AP$509,$A$64:$A$509,$B29,$C$64:$C$509,"Total")+SUMIFS($AO$64:$AO$509,$A$64:$A$509,$B29,$C$64:$C$509,"Total")</f>
        <v>-793.225139245793</v>
      </c>
      <c r="AH29" s="88">
        <f t="shared" ref="AH29:AH44" si="31">SUMIFS($AQ$64:$AQ$509,$A$64:$A$509,$B29,$C$64:$C$509,"Total")</f>
        <v>225527.88344864643</v>
      </c>
      <c r="AI29" s="88">
        <f t="shared" ref="AI29:AI44" si="32">SUMIFS($AQ$64:$AQ$509,$A$64:$A$509,$B29,$C$64:$C$509,"Compensation Budget")</f>
        <v>246238.296</v>
      </c>
      <c r="AJ29" s="89">
        <f t="shared" ref="AJ29:AJ44" si="33">SUMIFS($AQ$64:$AQ$509,$A$64:$A$509,$B29,$C$64:$C$509,"Under/(Over)")</f>
        <v>20710.412551353569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Human Settlements Policy, Strategy and Planning</v>
      </c>
      <c r="D30" s="222">
        <f t="shared" si="2"/>
        <v>0</v>
      </c>
      <c r="E30" s="223">
        <f t="shared" si="2"/>
        <v>0</v>
      </c>
      <c r="F30" s="80">
        <f t="shared" si="3"/>
        <v>83</v>
      </c>
      <c r="G30" s="155">
        <f t="shared" si="4"/>
        <v>671.9911048192771</v>
      </c>
      <c r="H30" s="155">
        <f t="shared" si="5"/>
        <v>55775.261700000003</v>
      </c>
      <c r="I30" s="23">
        <f t="shared" si="6"/>
        <v>0</v>
      </c>
      <c r="J30" s="22">
        <f t="shared" si="7"/>
        <v>83</v>
      </c>
      <c r="K30" s="22">
        <f t="shared" si="8"/>
        <v>698.64561542574575</v>
      </c>
      <c r="L30" s="22">
        <f t="shared" si="9"/>
        <v>0</v>
      </c>
      <c r="M30" s="22">
        <f t="shared" si="10"/>
        <v>57987.586080336892</v>
      </c>
      <c r="N30" s="22">
        <f t="shared" si="11"/>
        <v>55724</v>
      </c>
      <c r="O30" s="91">
        <f t="shared" si="12"/>
        <v>-2263.5860803368923</v>
      </c>
      <c r="P30" s="23">
        <f t="shared" si="13"/>
        <v>0</v>
      </c>
      <c r="Q30" s="22">
        <f t="shared" si="14"/>
        <v>83</v>
      </c>
      <c r="R30" s="22">
        <f t="shared" si="15"/>
        <v>755.32132550237975</v>
      </c>
      <c r="S30" s="22">
        <f t="shared" si="16"/>
        <v>0</v>
      </c>
      <c r="T30" s="22">
        <f t="shared" si="17"/>
        <v>62691.670016697521</v>
      </c>
      <c r="U30" s="22">
        <f t="shared" si="18"/>
        <v>59591</v>
      </c>
      <c r="V30" s="91">
        <f t="shared" si="19"/>
        <v>-3100.6700166975206</v>
      </c>
      <c r="W30" s="23">
        <f t="shared" si="20"/>
        <v>0</v>
      </c>
      <c r="X30" s="22">
        <f t="shared" si="21"/>
        <v>83</v>
      </c>
      <c r="Y30" s="22">
        <f t="shared" si="22"/>
        <v>768.21441726720479</v>
      </c>
      <c r="Z30" s="22">
        <f t="shared" si="23"/>
        <v>-3953.3913746446974</v>
      </c>
      <c r="AA30" s="22">
        <f t="shared" si="24"/>
        <v>63761.796633177997</v>
      </c>
      <c r="AB30" s="22">
        <f t="shared" si="25"/>
        <v>58099</v>
      </c>
      <c r="AC30" s="91">
        <f t="shared" si="26"/>
        <v>-5662.7966331779971</v>
      </c>
      <c r="AD30" s="23">
        <f t="shared" si="27"/>
        <v>0</v>
      </c>
      <c r="AE30" s="22">
        <f t="shared" si="28"/>
        <v>83</v>
      </c>
      <c r="AF30" s="22">
        <f t="shared" si="29"/>
        <v>828.98213380622428</v>
      </c>
      <c r="AG30" s="22">
        <f t="shared" si="30"/>
        <v>0</v>
      </c>
      <c r="AH30" s="22">
        <f t="shared" si="31"/>
        <v>68805.517105916617</v>
      </c>
      <c r="AI30" s="22">
        <f t="shared" si="32"/>
        <v>62514.524000000005</v>
      </c>
      <c r="AJ30" s="91">
        <f t="shared" si="33"/>
        <v>-6290.993105916612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Human Settlements Delivery Support</v>
      </c>
      <c r="D31" s="222">
        <f t="shared" si="2"/>
        <v>0</v>
      </c>
      <c r="E31" s="223">
        <f t="shared" si="2"/>
        <v>0</v>
      </c>
      <c r="F31" s="80">
        <f t="shared" si="3"/>
        <v>110</v>
      </c>
      <c r="G31" s="155">
        <f t="shared" si="4"/>
        <v>582.74729354545457</v>
      </c>
      <c r="H31" s="155">
        <f t="shared" si="5"/>
        <v>64102.202290000001</v>
      </c>
      <c r="I31" s="23">
        <f t="shared" si="6"/>
        <v>11</v>
      </c>
      <c r="J31" s="22">
        <f t="shared" si="7"/>
        <v>121</v>
      </c>
      <c r="K31" s="22">
        <f t="shared" si="8"/>
        <v>622.83626034534495</v>
      </c>
      <c r="L31" s="22">
        <f t="shared" si="9"/>
        <v>6341.3599612199487</v>
      </c>
      <c r="M31" s="22">
        <f t="shared" si="10"/>
        <v>75363.187501786742</v>
      </c>
      <c r="N31" s="22">
        <f t="shared" si="11"/>
        <v>93259</v>
      </c>
      <c r="O31" s="91">
        <f t="shared" si="12"/>
        <v>17895.812498213258</v>
      </c>
      <c r="P31" s="23">
        <f t="shared" si="13"/>
        <v>0</v>
      </c>
      <c r="Q31" s="22">
        <f t="shared" si="14"/>
        <v>121</v>
      </c>
      <c r="R31" s="22">
        <f t="shared" si="15"/>
        <v>674.280685828228</v>
      </c>
      <c r="S31" s="22">
        <f t="shared" si="16"/>
        <v>0</v>
      </c>
      <c r="T31" s="22">
        <f t="shared" si="17"/>
        <v>81587.962985215592</v>
      </c>
      <c r="U31" s="22">
        <f t="shared" si="18"/>
        <v>75473</v>
      </c>
      <c r="V31" s="91">
        <f t="shared" si="19"/>
        <v>-6114.9629852155922</v>
      </c>
      <c r="W31" s="23">
        <f t="shared" si="20"/>
        <v>-9</v>
      </c>
      <c r="X31" s="22">
        <f t="shared" si="21"/>
        <v>112</v>
      </c>
      <c r="Y31" s="22">
        <f t="shared" si="22"/>
        <v>738.46585470147227</v>
      </c>
      <c r="Z31" s="22">
        <f t="shared" si="23"/>
        <v>-5537.5020225330018</v>
      </c>
      <c r="AA31" s="22">
        <f t="shared" si="24"/>
        <v>82708.175726564892</v>
      </c>
      <c r="AB31" s="22">
        <f t="shared" si="25"/>
        <v>75368</v>
      </c>
      <c r="AC31" s="91">
        <f t="shared" si="26"/>
        <v>-7340.1757265648921</v>
      </c>
      <c r="AD31" s="23">
        <f t="shared" si="27"/>
        <v>0</v>
      </c>
      <c r="AE31" s="22">
        <f t="shared" si="28"/>
        <v>112</v>
      </c>
      <c r="AF31" s="22">
        <f t="shared" si="29"/>
        <v>797.20625220966781</v>
      </c>
      <c r="AG31" s="22">
        <f t="shared" si="30"/>
        <v>0</v>
      </c>
      <c r="AH31" s="22">
        <f t="shared" si="31"/>
        <v>89287.100247482798</v>
      </c>
      <c r="AI31" s="22">
        <f t="shared" si="32"/>
        <v>81095.968000000008</v>
      </c>
      <c r="AJ31" s="91">
        <f t="shared" si="33"/>
        <v>-8191.1322474827903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Housing Development Finance</v>
      </c>
      <c r="D32" s="222">
        <f t="shared" si="2"/>
        <v>0</v>
      </c>
      <c r="E32" s="223">
        <f t="shared" si="2"/>
        <v>0</v>
      </c>
      <c r="F32" s="80">
        <f t="shared" si="3"/>
        <v>30</v>
      </c>
      <c r="G32" s="155">
        <f t="shared" si="4"/>
        <v>563.73775266666655</v>
      </c>
      <c r="H32" s="155">
        <f t="shared" si="5"/>
        <v>16912.132579999998</v>
      </c>
      <c r="I32" s="23">
        <f t="shared" si="6"/>
        <v>3</v>
      </c>
      <c r="J32" s="22">
        <f t="shared" si="7"/>
        <v>33</v>
      </c>
      <c r="K32" s="22">
        <f t="shared" si="8"/>
        <v>586.15742365925246</v>
      </c>
      <c r="L32" s="22">
        <f t="shared" si="9"/>
        <v>1150.1339705084288</v>
      </c>
      <c r="M32" s="22">
        <f t="shared" si="10"/>
        <v>19343.194980755332</v>
      </c>
      <c r="N32" s="22">
        <f t="shared" si="11"/>
        <v>18050</v>
      </c>
      <c r="O32" s="91">
        <f t="shared" si="12"/>
        <v>-1293.1949807553319</v>
      </c>
      <c r="P32" s="23">
        <f t="shared" si="13"/>
        <v>0</v>
      </c>
      <c r="Q32" s="22">
        <f t="shared" si="14"/>
        <v>33</v>
      </c>
      <c r="R32" s="22">
        <f t="shared" si="15"/>
        <v>634.51077965156207</v>
      </c>
      <c r="S32" s="22">
        <f t="shared" si="16"/>
        <v>0</v>
      </c>
      <c r="T32" s="22">
        <f t="shared" si="17"/>
        <v>20938.855728501549</v>
      </c>
      <c r="U32" s="22">
        <f t="shared" si="18"/>
        <v>19310</v>
      </c>
      <c r="V32" s="91">
        <f t="shared" si="19"/>
        <v>-1628.8557285015486</v>
      </c>
      <c r="W32" s="23">
        <f t="shared" si="20"/>
        <v>-4</v>
      </c>
      <c r="X32" s="22">
        <f t="shared" si="21"/>
        <v>29</v>
      </c>
      <c r="Y32" s="22">
        <f t="shared" si="22"/>
        <v>712.05296757764188</v>
      </c>
      <c r="Z32" s="22">
        <f t="shared" si="23"/>
        <v>-1995.7526177232567</v>
      </c>
      <c r="AA32" s="22">
        <f t="shared" si="24"/>
        <v>20649.536059751616</v>
      </c>
      <c r="AB32" s="22">
        <f t="shared" si="25"/>
        <v>18904</v>
      </c>
      <c r="AC32" s="91">
        <f t="shared" si="26"/>
        <v>-1745.5360597516155</v>
      </c>
      <c r="AD32" s="23">
        <f t="shared" si="27"/>
        <v>0</v>
      </c>
      <c r="AE32" s="22">
        <f t="shared" si="28"/>
        <v>29</v>
      </c>
      <c r="AF32" s="22">
        <f t="shared" si="29"/>
        <v>768.47201674031476</v>
      </c>
      <c r="AG32" s="22">
        <f t="shared" si="30"/>
        <v>0</v>
      </c>
      <c r="AH32" s="22">
        <f t="shared" si="31"/>
        <v>22285.688485469127</v>
      </c>
      <c r="AI32" s="22">
        <f t="shared" si="32"/>
        <v>20340.704000000002</v>
      </c>
      <c r="AJ32" s="91">
        <f t="shared" si="33"/>
        <v>-1944.9844854691255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/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0</v>
      </c>
      <c r="O33" s="91">
        <f t="shared" si="12"/>
        <v>0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0</v>
      </c>
      <c r="V33" s="91">
        <f t="shared" si="19"/>
        <v>0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0</v>
      </c>
      <c r="AC33" s="91">
        <f t="shared" si="26"/>
        <v>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0</v>
      </c>
      <c r="AJ33" s="91">
        <f t="shared" si="33"/>
        <v>0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683</v>
      </c>
      <c r="G45" s="92">
        <f>IFERROR(H45/F45,0)</f>
        <v>491.25025877013172</v>
      </c>
      <c r="H45" s="92">
        <f>SUM(H29:H38)</f>
        <v>335523.92673999997</v>
      </c>
      <c r="I45" s="25">
        <f>SUM(I29:I38)</f>
        <v>-7</v>
      </c>
      <c r="J45" s="92">
        <f>SUM(J29:J38)</f>
        <v>676</v>
      </c>
      <c r="K45" s="92">
        <f>IFERROR(M45/J45,0)</f>
        <v>524.50456677109037</v>
      </c>
      <c r="L45" s="92">
        <f t="shared" ref="L45:Q45" si="34">SUM(L29:L38)</f>
        <v>-4491.6963771744086</v>
      </c>
      <c r="M45" s="92">
        <f t="shared" si="34"/>
        <v>354565.0871372571</v>
      </c>
      <c r="N45" s="92">
        <f>INDEX('ENE17'!$C$2:$C$48,MATCH(Results!$D$3,'ENE17'!$A$2:$A$48,0))</f>
        <v>371491</v>
      </c>
      <c r="O45" s="129">
        <f>N45-M45</f>
        <v>16925.912862742902</v>
      </c>
      <c r="P45" s="25">
        <f t="shared" si="34"/>
        <v>-10</v>
      </c>
      <c r="Q45" s="24">
        <f t="shared" si="34"/>
        <v>666</v>
      </c>
      <c r="R45" s="92">
        <f>IFERROR(T45/Q45,0)</f>
        <v>574.83483638659357</v>
      </c>
      <c r="S45" s="24">
        <f>SUM(S29:S38)</f>
        <v>-842.14416968336286</v>
      </c>
      <c r="T45" s="24">
        <f>SUM(T29:T38)</f>
        <v>382840.00103347132</v>
      </c>
      <c r="U45" s="207">
        <f>INDEX('ENE17'!$D$2:$D$48,MATCH(Results!$D$3,'ENE17'!$A$2:$A$48,0))</f>
        <v>383257</v>
      </c>
      <c r="V45" s="24">
        <f>U45-T45</f>
        <v>416.99896652868483</v>
      </c>
      <c r="W45" s="25">
        <f t="shared" ref="W45:X45" si="35">SUM(W29:W38)</f>
        <v>-73</v>
      </c>
      <c r="X45" s="24">
        <f t="shared" si="35"/>
        <v>593</v>
      </c>
      <c r="Y45" s="92">
        <f>IFERROR(AA45/X45,0)</f>
        <v>635.4294156863308</v>
      </c>
      <c r="Z45" s="24">
        <f t="shared" ref="Z45:AA45" si="36">SUM(Z29:Z38)</f>
        <v>-37085.345100248378</v>
      </c>
      <c r="AA45" s="24">
        <f t="shared" si="36"/>
        <v>376809.64350199414</v>
      </c>
      <c r="AB45" s="207">
        <f>INDEX('ENE17'!$E$2:$E$48,MATCH(Results!$D$3,'ENE17'!$A$2:$A$48,0))</f>
        <v>376945</v>
      </c>
      <c r="AC45" s="24">
        <f>AB45-AA45</f>
        <v>135.35649800585816</v>
      </c>
      <c r="AD45" s="25">
        <f t="shared" ref="AD45:AE45" si="37">SUM(AD29:AD38)</f>
        <v>-2</v>
      </c>
      <c r="AE45" s="24">
        <f t="shared" si="37"/>
        <v>591</v>
      </c>
      <c r="AF45" s="92">
        <f>IFERROR(AH45/AE45,0)</f>
        <v>686.81250302455999</v>
      </c>
      <c r="AG45" s="24">
        <f t="shared" ref="AG45:AH45" si="38">SUM(AG29:AG38)</f>
        <v>-793.225139245793</v>
      </c>
      <c r="AH45" s="24">
        <f t="shared" si="38"/>
        <v>405906.18928751495</v>
      </c>
      <c r="AI45" s="207">
        <f>INDEX('ENE17'!$F$2:$F$48,MATCH(Results!$D$3,'ENE17'!$A$2:$A$48,0))</f>
        <v>405680</v>
      </c>
      <c r="AJ45" s="24">
        <f>AI45-AH45</f>
        <v>-226.18928751494968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182</v>
      </c>
      <c r="G51" s="193">
        <f>IFERROR(H51/F51,"")</f>
        <v>190.6903854395604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34705.650149999994</v>
      </c>
      <c r="I51" s="97">
        <f>SUMIFS($N$64:$N$509,$B$64:$B$509,$B51)-SUMIFS($O$64:$O$509,$B$64:$B$509,$B51)</f>
        <v>-4</v>
      </c>
      <c r="J51" s="80">
        <f>SUMIFS($P$64:$P$509,$B$64:$B$509,$B51)</f>
        <v>178</v>
      </c>
      <c r="K51" s="80">
        <f>IFERROR(M51/J51,0)</f>
        <v>205.67053285986034</v>
      </c>
      <c r="L51" s="80">
        <f>SUMIFS($R$64:$R$509,$B$64:$B$509,$B51)+SUMIFS($Q$64:$Q$509,$B$64:$B$509,$B51)</f>
        <v>-1073.7420852041373</v>
      </c>
      <c r="M51" s="98">
        <f>SUMIFS($S$64:$S$509,$B$64:$B$509,$B51)</f>
        <v>36609.35484905514</v>
      </c>
      <c r="N51" s="80">
        <f>SUMIFS($V$64:$V$509,$B$64:$B$509,$B51)-SUMIFS($W$64:$W$509,$B$64:$B$509,$B51)</f>
        <v>-10</v>
      </c>
      <c r="O51" s="80">
        <f>SUMIFS($X$64:$X$509,$B$64:$B$509,$B51)</f>
        <v>168</v>
      </c>
      <c r="P51" s="80">
        <f>IFERROR(R51/O51,0)</f>
        <v>231.3035239664006</v>
      </c>
      <c r="Q51" s="80">
        <f>SUMIFS($Z$64:$Z$509,$B$64:$B$509,$B51)+SUMIFS($Y$64:$Y$509,$B$64:$B$509,$B51)</f>
        <v>-842.14416968336286</v>
      </c>
      <c r="R51" s="80">
        <f>SUMIFS($AA$64:$AA$509,$B$64:$B$509,$B51)</f>
        <v>38858.992026355299</v>
      </c>
      <c r="S51" s="97">
        <f>SUMIFS($AD$64:$AD$509,$B$64:$B$509,$B51)-SUMIFS($AE$64:$AE$509,$B$64:$B$509,$B51)</f>
        <v>-34</v>
      </c>
      <c r="T51" s="80">
        <f>SUMIFS($AF$64:$AF$509,$B$64:$B$509,$B51)</f>
        <v>134</v>
      </c>
      <c r="U51" s="80">
        <f>IFERROR(W51/T51,0)</f>
        <v>280.10352511237801</v>
      </c>
      <c r="V51" s="80">
        <f>SUMIFS($AH$64:$AH$509,$B$64:$B$509,$B51)+SUMIFS($AG$64:$AG$509,$B$64:$B$509,$B51)</f>
        <v>-4566.1938663033725</v>
      </c>
      <c r="W51" s="98">
        <f>SUMIFS($AI$64:$AI$509,$B$64:$B$509,$B51)</f>
        <v>37533.872365058654</v>
      </c>
      <c r="X51" s="80">
        <f>SUMIFS($AL$64:$AL$509,$B$64:$B$509,$B51)-SUMIFS($AM$64:$AM$509,$B$64:$B$509,$B51)</f>
        <v>0</v>
      </c>
      <c r="Y51" s="80">
        <f>SUMIFS($AN$64:$AN$509,$B$64:$B$509,$B51)</f>
        <v>134</v>
      </c>
      <c r="Z51" s="80">
        <f>IFERROR(AB51/Y51,0)</f>
        <v>302.86826090826372</v>
      </c>
      <c r="AA51" s="80">
        <f>SUMIFS($AP$64:$AP$509,$B$64:$B$509,$B51)+SUMIFS($AO$64:$AO$509,$B$64:$B$509,$B51)</f>
        <v>0</v>
      </c>
      <c r="AB51" s="98">
        <f>SUMIFS($AQ$64:$AQ$509,$B$64:$B$509,$B51)</f>
        <v>40584.346961707342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272</v>
      </c>
      <c r="G52" s="192">
        <f t="shared" ref="G52:G55" si="40">IFERROR(H52/F52,"")</f>
        <v>377.51801779411767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102684.90084</v>
      </c>
      <c r="I52" s="97">
        <f>SUMIFS($N$64:$N$509,$B$64:$B$509,$B52)-SUMIFS($O$64:$O$509,$B$64:$B$509,$B52)</f>
        <v>-2</v>
      </c>
      <c r="J52" s="80">
        <f>SUMIFS($P$64:$P$509,$B$64:$B$509,$B52)</f>
        <v>270</v>
      </c>
      <c r="K52" s="80">
        <f t="shared" ref="K52:K56" si="41">IFERROR(M52/J52,0)</f>
        <v>408.13881937453965</v>
      </c>
      <c r="L52" s="80">
        <f>SUMIFS($R$64:$R$509,$B$64:$B$509,$B52)+SUMIFS($Q$64:$Q$509,$B$64:$B$509,$B52)</f>
        <v>-1668.2721411080192</v>
      </c>
      <c r="M52" s="98">
        <f>SUMIFS($S$64:$S$509,$B$64:$B$509,$B52)</f>
        <v>110197.48123112571</v>
      </c>
      <c r="N52" s="80">
        <f>SUMIFS($V$64:$V$509,$B$64:$B$509,$B52)-SUMIFS($W$64:$W$509,$B$64:$B$509,$B52)</f>
        <v>0</v>
      </c>
      <c r="O52" s="80">
        <f>SUMIFS($X$64:$X$509,$B$64:$B$509,$B52)</f>
        <v>270</v>
      </c>
      <c r="P52" s="80">
        <f t="shared" ref="P52:P55" si="42">IFERROR(R52/O52,0)</f>
        <v>442.93865399058404</v>
      </c>
      <c r="Q52" s="80">
        <f>SUMIFS($Z$64:$Z$509,$B$64:$B$509,$B52)+SUMIFS($Y$64:$Y$509,$B$64:$B$509,$B52)</f>
        <v>0</v>
      </c>
      <c r="R52" s="80">
        <f>SUMIFS($AA$64:$AA$509,$B$64:$B$509,$B52)</f>
        <v>119593.43657745769</v>
      </c>
      <c r="S52" s="97">
        <f>SUMIFS($AD$64:$AD$509,$B$64:$B$509,$B52)-SUMIFS($AE$64:$AE$509,$B$64:$B$509,$B52)</f>
        <v>-20</v>
      </c>
      <c r="T52" s="80">
        <f>SUMIFS($AF$64:$AF$509,$B$64:$B$509,$B52)</f>
        <v>250</v>
      </c>
      <c r="U52" s="80">
        <f t="shared" ref="U52:U55" si="43">IFERROR(W52/T52,0)</f>
        <v>478.54502553524748</v>
      </c>
      <c r="V52" s="80">
        <f>SUMIFS($AH$64:$AH$509,$B$64:$B$509,$B52)+SUMIFS($AG$64:$AG$509,$B$64:$B$509,$B52)</f>
        <v>-10033.017719256881</v>
      </c>
      <c r="W52" s="98">
        <f>SUMIFS($AI$64:$AI$509,$B$64:$B$509,$B52)</f>
        <v>119636.25638381187</v>
      </c>
      <c r="X52" s="80">
        <f>SUMIFS($AL$64:$AL$509,$B$64:$B$509,$B52)-SUMIFS($AM$64:$AM$509,$B$64:$B$509,$B52)</f>
        <v>-2</v>
      </c>
      <c r="Y52" s="80">
        <f>SUMIFS($AN$64:$AN$509,$B$64:$B$509,$B52)</f>
        <v>248</v>
      </c>
      <c r="Z52" s="80">
        <f t="shared" ref="Z52:Z55" si="44">IFERROR(AB52/Y52,0)</f>
        <v>518.86856809085987</v>
      </c>
      <c r="AA52" s="80">
        <f>SUMIFS($AP$64:$AP$509,$B$64:$B$509,$B52)+SUMIFS($AO$64:$AO$509,$B$64:$B$509,$B52)</f>
        <v>-793.225139245793</v>
      </c>
      <c r="AB52" s="98">
        <f>SUMIFS($AQ$64:$AQ$509,$B$64:$B$509,$B52)</f>
        <v>128679.40488653324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124</v>
      </c>
      <c r="G53" s="192">
        <f t="shared" si="40"/>
        <v>661.49392645161288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82025.246879999992</v>
      </c>
      <c r="I53" s="97">
        <f>SUMIFS($N$64:$N$509,$B$64:$B$509,$B53)-SUMIFS($O$64:$O$509,$B$64:$B$509,$B53)</f>
        <v>3</v>
      </c>
      <c r="J53" s="80">
        <f>SUMIFS($P$64:$P$509,$B$64:$B$509,$B53)</f>
        <v>127</v>
      </c>
      <c r="K53" s="80">
        <f t="shared" si="41"/>
        <v>725.75262188782881</v>
      </c>
      <c r="L53" s="80">
        <f>SUMIFS($R$64:$R$509,$B$64:$B$509,$B53)+SUMIFS($Q$64:$Q$509,$B$64:$B$509,$B53)</f>
        <v>2612.5032739336743</v>
      </c>
      <c r="M53" s="98">
        <f>SUMIFS($S$64:$S$509,$B$64:$B$509,$B53)</f>
        <v>92170.582979754254</v>
      </c>
      <c r="N53" s="80">
        <f>SUMIFS($V$64:$V$509,$B$64:$B$509,$B53)-SUMIFS($W$64:$W$509,$B$64:$B$509,$B53)</f>
        <v>0</v>
      </c>
      <c r="O53" s="80">
        <f>SUMIFS($X$64:$X$509,$B$64:$B$509,$B53)</f>
        <v>127</v>
      </c>
      <c r="P53" s="80">
        <f t="shared" si="42"/>
        <v>787.98098263144652</v>
      </c>
      <c r="Q53" s="80">
        <f>SUMIFS($Z$64:$Z$509,$B$64:$B$509,$B53)+SUMIFS($Y$64:$Y$509,$B$64:$B$509,$B53)</f>
        <v>0</v>
      </c>
      <c r="R53" s="80">
        <f>SUMIFS($AA$64:$AA$509,$B$64:$B$509,$B53)</f>
        <v>100073.58479419371</v>
      </c>
      <c r="S53" s="97">
        <f>SUMIFS($AD$64:$AD$509,$B$64:$B$509,$B53)-SUMIFS($AE$64:$AE$509,$B$64:$B$509,$B53)</f>
        <v>-3</v>
      </c>
      <c r="T53" s="80">
        <f>SUMIFS($AF$64:$AF$509,$B$64:$B$509,$B53)</f>
        <v>124</v>
      </c>
      <c r="U53" s="80">
        <f t="shared" si="43"/>
        <v>856.74036181053486</v>
      </c>
      <c r="V53" s="80">
        <f>SUMIFS($AH$64:$AH$509,$B$64:$B$509,$B53)+SUMIFS($AG$64:$AG$509,$B$64:$B$509,$B53)</f>
        <v>-2316.865283341248</v>
      </c>
      <c r="W53" s="98">
        <f>SUMIFS($AI$64:$AI$509,$B$64:$B$509,$B53)</f>
        <v>106235.80486450632</v>
      </c>
      <c r="X53" s="80">
        <f>SUMIFS($AL$64:$AL$509,$B$64:$B$509,$B53)-SUMIFS($AM$64:$AM$509,$B$64:$B$509,$B53)</f>
        <v>0</v>
      </c>
      <c r="Y53" s="80">
        <f>SUMIFS($AN$64:$AN$509,$B$64:$B$509,$B53)</f>
        <v>124</v>
      </c>
      <c r="Z53" s="80">
        <f t="shared" si="44"/>
        <v>927.58484912842744</v>
      </c>
      <c r="AA53" s="80">
        <f>SUMIFS($AP$64:$AP$509,$B$64:$B$509,$B53)+SUMIFS($AO$64:$AO$509,$B$64:$B$509,$B53)</f>
        <v>0</v>
      </c>
      <c r="AB53" s="98">
        <f>SUMIFS($AQ$64:$AQ$509,$B$64:$B$509,$B53)</f>
        <v>115020.521291925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105</v>
      </c>
      <c r="G54" s="192">
        <f t="shared" si="40"/>
        <v>1105.7917035238095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116108.12887</v>
      </c>
      <c r="I54" s="97">
        <f>SUMIFS($N$64:$N$509,$B$64:$B$509,$B54)-SUMIFS($O$64:$O$509,$B$64:$B$509,$B54)</f>
        <v>-4</v>
      </c>
      <c r="J54" s="80">
        <f>SUMIFS($P$64:$P$509,$B$64:$B$509,$B54)</f>
        <v>101</v>
      </c>
      <c r="K54" s="80">
        <f t="shared" si="41"/>
        <v>1144.4323572012081</v>
      </c>
      <c r="L54" s="80">
        <f>SUMIFS($R$64:$R$509,$B$64:$B$509,$B54)+SUMIFS($Q$64:$Q$509,$B$64:$B$509,$B54)</f>
        <v>-4362.1854247959254</v>
      </c>
      <c r="M54" s="98">
        <f>SUMIFS($S$64:$S$509,$B$64:$B$509,$B54)</f>
        <v>115587.66807732201</v>
      </c>
      <c r="N54" s="80">
        <f>SUMIFS($V$64:$V$509,$B$64:$B$509,$B54)-SUMIFS($W$64:$W$509,$B$64:$B$509,$B54)</f>
        <v>0</v>
      </c>
      <c r="O54" s="80">
        <f>SUMIFS($X$64:$X$509,$B$64:$B$509,$B54)</f>
        <v>101</v>
      </c>
      <c r="P54" s="80">
        <f t="shared" si="42"/>
        <v>1230.8315607471741</v>
      </c>
      <c r="Q54" s="80">
        <f>SUMIFS($Z$64:$Z$509,$B$64:$B$509,$B54)+SUMIFS($Y$64:$Y$509,$B$64:$B$509,$B54)</f>
        <v>0</v>
      </c>
      <c r="R54" s="80">
        <f>SUMIFS($AA$64:$AA$509,$B$64:$B$509,$B54)</f>
        <v>124313.98763546458</v>
      </c>
      <c r="S54" s="97">
        <f>SUMIFS($AD$64:$AD$509,$B$64:$B$509,$B54)-SUMIFS($AE$64:$AE$509,$B$64:$B$509,$B54)</f>
        <v>-16</v>
      </c>
      <c r="T54" s="80">
        <f>SUMIFS($AF$64:$AF$509,$B$64:$B$509,$B54)</f>
        <v>85</v>
      </c>
      <c r="U54" s="80">
        <f t="shared" si="43"/>
        <v>1334.161292807262</v>
      </c>
      <c r="V54" s="80">
        <f>SUMIFS($AH$64:$AH$509,$B$64:$B$509,$B54)+SUMIFS($AG$64:$AG$509,$B$64:$B$509,$B54)</f>
        <v>-20169.268231346872</v>
      </c>
      <c r="W54" s="98">
        <f>SUMIFS($AI$64:$AI$509,$B$64:$B$509,$B54)</f>
        <v>113403.70988861728</v>
      </c>
      <c r="X54" s="80">
        <f>SUMIFS($AL$64:$AL$509,$B$64:$B$509,$B54)-SUMIFS($AM$64:$AM$509,$B$64:$B$509,$B54)</f>
        <v>0</v>
      </c>
      <c r="Y54" s="80">
        <f>SUMIFS($AN$64:$AN$509,$B$64:$B$509,$B54)</f>
        <v>85</v>
      </c>
      <c r="Z54" s="80">
        <f t="shared" si="44"/>
        <v>1430.8460723217581</v>
      </c>
      <c r="AA54" s="80">
        <f>SUMIFS($AP$64:$AP$509,$B$64:$B$509,$B54)+SUMIFS($AO$64:$AO$509,$B$64:$B$509,$B54)</f>
        <v>0</v>
      </c>
      <c r="AB54" s="98">
        <f>SUMIFS($AQ$64:$AQ$509,$B$64:$B$509,$B54)</f>
        <v>121621.91614734943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683</v>
      </c>
      <c r="G56" s="92">
        <f t="shared" ref="G56" si="45">IFERROR(H56/F56,0)</f>
        <v>491.25025877013172</v>
      </c>
      <c r="H56" s="92">
        <f>SUM(H51:H55)</f>
        <v>335523.92673999997</v>
      </c>
      <c r="I56" s="92">
        <f>SUM(I51:I55)</f>
        <v>-7</v>
      </c>
      <c r="J56" s="92">
        <f>SUM(J51:J55)</f>
        <v>676</v>
      </c>
      <c r="K56" s="92">
        <f t="shared" si="41"/>
        <v>524.50456677109037</v>
      </c>
      <c r="L56" s="92">
        <f>SUM(L51:L55)</f>
        <v>-4491.6963771744076</v>
      </c>
      <c r="M56" s="92">
        <f>SUM(M51:M55)</f>
        <v>354565.0871372571</v>
      </c>
      <c r="N56" s="92">
        <f t="shared" ref="N56:O56" si="46">SUM(N51:N55)</f>
        <v>-10</v>
      </c>
      <c r="O56" s="92">
        <f t="shared" si="46"/>
        <v>666</v>
      </c>
      <c r="P56" s="92">
        <f>IFERROR(R56/O56,0)</f>
        <v>574.83483638659357</v>
      </c>
      <c r="Q56" s="92">
        <f t="shared" ref="Q56" si="47">SUM(Q51:Q55)</f>
        <v>-842.14416968336286</v>
      </c>
      <c r="R56" s="92">
        <f t="shared" ref="R56:T56" si="48">SUM(R51:R55)</f>
        <v>382840.00103347132</v>
      </c>
      <c r="S56" s="92">
        <f t="shared" si="48"/>
        <v>-73</v>
      </c>
      <c r="T56" s="92">
        <f t="shared" si="48"/>
        <v>593</v>
      </c>
      <c r="U56" s="92">
        <f>IFERROR(W56/T56,0)</f>
        <v>635.42941568633069</v>
      </c>
      <c r="V56" s="92">
        <f t="shared" ref="V56" si="49">SUM(V51:V55)</f>
        <v>-37085.345100248378</v>
      </c>
      <c r="W56" s="92">
        <f t="shared" ref="W56:Y56" si="50">SUM(W51:W55)</f>
        <v>376809.64350199408</v>
      </c>
      <c r="X56" s="92">
        <f t="shared" si="50"/>
        <v>-2</v>
      </c>
      <c r="Y56" s="92">
        <f t="shared" si="50"/>
        <v>591</v>
      </c>
      <c r="Z56" s="92">
        <f>IFERROR(AB56/Y56,0)</f>
        <v>686.8125030245601</v>
      </c>
      <c r="AA56" s="92">
        <f t="shared" ref="AA56" si="51">SUM(AA51:AA55)</f>
        <v>-793.225139245793</v>
      </c>
      <c r="AB56" s="104">
        <f t="shared" ref="AB56" si="52">SUM(AB51:AB55)</f>
        <v>405906.18928751501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47</v>
      </c>
      <c r="G64" s="35">
        <f>SUMIFS(WORKING!$AC$3:$AC$6802,WORKING!$A$3:$A$6802,Results!$D$3,WORKING!$B$3:$B$6802,Results!A64,WORKING!$C$3:$C$6802,Results!C64)/1000</f>
        <v>2082.3835899999995</v>
      </c>
      <c r="H64" s="35">
        <f>IFERROR(G64/F64,0)</f>
        <v>44.306033829787225</v>
      </c>
      <c r="I64" s="156">
        <v>37</v>
      </c>
      <c r="J64" s="211">
        <v>2627</v>
      </c>
      <c r="K64" s="217">
        <f>IFERROR(IF(J64="",G64,J64)/IF(I64="",F64,I64),"")</f>
        <v>71</v>
      </c>
      <c r="L64" s="34">
        <f t="shared" ref="L64:L80" si="54">IF(I64="",F64,I64)</f>
        <v>37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77.541936791738934</v>
      </c>
      <c r="N64" s="57">
        <v>0</v>
      </c>
      <c r="O64" s="57">
        <v>0</v>
      </c>
      <c r="P64" s="61">
        <f t="shared" ref="P64:P80" si="55">-O64+L64+N64</f>
        <v>37</v>
      </c>
      <c r="Q64" s="40">
        <f>M64*N64</f>
        <v>0</v>
      </c>
      <c r="R64" s="40">
        <f>-M64*O64</f>
        <v>0</v>
      </c>
      <c r="S64" s="44">
        <f>M64*P64</f>
        <v>2869.0516612943406</v>
      </c>
      <c r="T64" s="35">
        <f>P64</f>
        <v>37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84.21441696833628</v>
      </c>
      <c r="V64" s="57">
        <v>0</v>
      </c>
      <c r="W64" s="57">
        <v>10</v>
      </c>
      <c r="X64" s="61">
        <f t="shared" ref="X64:X80" si="56">-W64+T64+V64</f>
        <v>27</v>
      </c>
      <c r="Y64" s="40">
        <f>U64*V64</f>
        <v>0</v>
      </c>
      <c r="Z64" s="40">
        <f>-U64*W64</f>
        <v>-842.14416968336286</v>
      </c>
      <c r="AA64" s="44">
        <f>U64*X64</f>
        <v>2273.7892581450797</v>
      </c>
      <c r="AB64" s="35">
        <f>X64</f>
        <v>27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91.375586134616967</v>
      </c>
      <c r="AD64" s="57">
        <v>0</v>
      </c>
      <c r="AE64" s="57">
        <v>27</v>
      </c>
      <c r="AF64" s="61">
        <f t="shared" ref="AF64:AF80" si="57">-AE64+AB64+AD64</f>
        <v>0</v>
      </c>
      <c r="AG64" s="40">
        <f>AC64*AD64</f>
        <v>0</v>
      </c>
      <c r="AH64" s="40">
        <f>-AC64*AE64</f>
        <v>-2467.1408256346581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98.960212567288721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21</v>
      </c>
      <c r="G65" s="35">
        <f>SUMIFS(WORKING!$AC$3:$AC$6802,WORKING!$A$3:$A$6802,Results!$D$3,WORKING!$B$3:$B$6802,Results!A65,WORKING!$C$3:$C$6802,Results!C65)/1000</f>
        <v>3267.4567299999994</v>
      </c>
      <c r="H65" s="35">
        <f t="shared" ref="H65:H80" si="60">IFERROR(G65/F65,0)</f>
        <v>155.59317761904759</v>
      </c>
      <c r="I65" s="187">
        <v>25</v>
      </c>
      <c r="J65" s="212">
        <v>4350</v>
      </c>
      <c r="K65" s="217">
        <f t="shared" ref="K65:K80" si="61">IFERROR(IF(J65="",G65,J65)/IF(I65="",F65,I65),"")</f>
        <v>174</v>
      </c>
      <c r="L65" s="34">
        <f t="shared" si="54"/>
        <v>25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188.74464030677242</v>
      </c>
      <c r="N65" s="57">
        <v>0</v>
      </c>
      <c r="O65" s="57">
        <v>13</v>
      </c>
      <c r="P65" s="61">
        <f t="shared" si="55"/>
        <v>12</v>
      </c>
      <c r="Q65" s="40">
        <f t="shared" ref="Q65:Q80" si="62">M65*N65</f>
        <v>0</v>
      </c>
      <c r="R65" s="40">
        <f t="shared" ref="R65:R80" si="63">-M65*O65</f>
        <v>-2453.6803239880414</v>
      </c>
      <c r="S65" s="44">
        <f t="shared" ref="S65:S80" si="64">M65*P65</f>
        <v>2264.935683681269</v>
      </c>
      <c r="T65" s="35">
        <f t="shared" ref="T65:T80" si="65">P65</f>
        <v>12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204.58519844196215</v>
      </c>
      <c r="V65" s="57">
        <v>0</v>
      </c>
      <c r="W65" s="57">
        <v>0</v>
      </c>
      <c r="X65" s="61">
        <f t="shared" si="56"/>
        <v>12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2455.0223813035459</v>
      </c>
      <c r="AB65" s="35">
        <f t="shared" ref="AB65:AB80" si="69">X65</f>
        <v>12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221.54813549781116</v>
      </c>
      <c r="AD65" s="57">
        <v>0</v>
      </c>
      <c r="AE65" s="57">
        <v>0</v>
      </c>
      <c r="AF65" s="61">
        <f t="shared" si="57"/>
        <v>12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2658.577625973734</v>
      </c>
      <c r="AJ65" s="35">
        <f t="shared" si="58"/>
        <v>12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239.46909157035199</v>
      </c>
      <c r="AL65" s="57">
        <v>0</v>
      </c>
      <c r="AM65" s="57">
        <v>0</v>
      </c>
      <c r="AN65" s="61">
        <f t="shared" si="59"/>
        <v>12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2873.6290988442238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33</v>
      </c>
      <c r="G66" s="35">
        <f>SUMIFS(WORKING!$AC$3:$AC$6802,WORKING!$A$3:$A$6802,Results!$D$3,WORKING!$B$3:$B$6802,Results!A66,WORKING!$C$3:$C$6802,Results!C66)/1000</f>
        <v>3307.0913399999999</v>
      </c>
      <c r="H66" s="35">
        <f t="shared" si="60"/>
        <v>100.21488909090908</v>
      </c>
      <c r="I66" s="187">
        <v>18</v>
      </c>
      <c r="J66" s="212" t="s">
        <v>754</v>
      </c>
      <c r="K66" s="217">
        <f t="shared" si="61"/>
        <v>183.72729666666666</v>
      </c>
      <c r="L66" s="34">
        <f t="shared" si="54"/>
        <v>18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199.1234220784637</v>
      </c>
      <c r="N66" s="57">
        <v>14</v>
      </c>
      <c r="O66" s="57">
        <v>0</v>
      </c>
      <c r="P66" s="61">
        <f t="shared" si="55"/>
        <v>32</v>
      </c>
      <c r="Q66" s="40">
        <f t="shared" si="62"/>
        <v>2787.7279090984921</v>
      </c>
      <c r="R66" s="40">
        <f t="shared" si="63"/>
        <v>0</v>
      </c>
      <c r="S66" s="44">
        <f t="shared" si="64"/>
        <v>6371.9495065108385</v>
      </c>
      <c r="T66" s="35">
        <f t="shared" si="65"/>
        <v>32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215.78460558695375</v>
      </c>
      <c r="V66" s="57">
        <v>0</v>
      </c>
      <c r="W66" s="57">
        <v>0</v>
      </c>
      <c r="X66" s="61">
        <f t="shared" si="56"/>
        <v>32</v>
      </c>
      <c r="Y66" s="40">
        <f t="shared" si="66"/>
        <v>0</v>
      </c>
      <c r="Z66" s="40">
        <f t="shared" si="67"/>
        <v>0</v>
      </c>
      <c r="AA66" s="44">
        <f t="shared" si="68"/>
        <v>6905.1073787825198</v>
      </c>
      <c r="AB66" s="35">
        <f t="shared" si="69"/>
        <v>32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233.62141624399908</v>
      </c>
      <c r="AD66" s="57">
        <v>0</v>
      </c>
      <c r="AE66" s="57">
        <v>2</v>
      </c>
      <c r="AF66" s="61">
        <f t="shared" si="57"/>
        <v>30</v>
      </c>
      <c r="AG66" s="40">
        <f t="shared" si="70"/>
        <v>0</v>
      </c>
      <c r="AH66" s="40">
        <f t="shared" si="71"/>
        <v>-467.24283248799816</v>
      </c>
      <c r="AI66" s="44">
        <f t="shared" si="72"/>
        <v>7008.6424873199721</v>
      </c>
      <c r="AJ66" s="35">
        <f t="shared" si="58"/>
        <v>30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252.45959031001635</v>
      </c>
      <c r="AL66" s="57">
        <v>0</v>
      </c>
      <c r="AM66" s="57">
        <v>0</v>
      </c>
      <c r="AN66" s="61">
        <f t="shared" si="59"/>
        <v>30</v>
      </c>
      <c r="AO66" s="40">
        <f t="shared" si="73"/>
        <v>0</v>
      </c>
      <c r="AP66" s="40">
        <f t="shared" si="74"/>
        <v>0</v>
      </c>
      <c r="AQ66" s="44">
        <f t="shared" si="75"/>
        <v>7573.7877093004909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21</v>
      </c>
      <c r="G67" s="35">
        <f>SUMIFS(WORKING!$AC$3:$AC$6802,WORKING!$A$3:$A$6802,Results!$D$3,WORKING!$B$3:$B$6802,Results!A67,WORKING!$C$3:$C$6802,Results!C67)/1000</f>
        <v>4045.2933999999996</v>
      </c>
      <c r="H67" s="35">
        <f t="shared" si="60"/>
        <v>192.63301904761903</v>
      </c>
      <c r="I67" s="187">
        <v>19</v>
      </c>
      <c r="J67" s="212" t="s">
        <v>754</v>
      </c>
      <c r="K67" s="217">
        <f t="shared" si="61"/>
        <v>212.91017894736839</v>
      </c>
      <c r="L67" s="34">
        <f t="shared" si="54"/>
        <v>19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231.24225628868243</v>
      </c>
      <c r="N67" s="57">
        <v>3</v>
      </c>
      <c r="O67" s="57">
        <v>0</v>
      </c>
      <c r="P67" s="61">
        <f t="shared" si="55"/>
        <v>22</v>
      </c>
      <c r="Q67" s="40">
        <f t="shared" si="62"/>
        <v>693.72676886604722</v>
      </c>
      <c r="R67" s="40">
        <f t="shared" si="63"/>
        <v>0</v>
      </c>
      <c r="S67" s="44">
        <f t="shared" si="64"/>
        <v>5087.3296383510133</v>
      </c>
      <c r="T67" s="35">
        <f t="shared" si="65"/>
        <v>22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250.74100831822739</v>
      </c>
      <c r="V67" s="57">
        <v>0</v>
      </c>
      <c r="W67" s="57">
        <v>0</v>
      </c>
      <c r="X67" s="61">
        <f t="shared" si="56"/>
        <v>22</v>
      </c>
      <c r="Y67" s="40">
        <f t="shared" si="66"/>
        <v>0</v>
      </c>
      <c r="Z67" s="40">
        <f t="shared" si="67"/>
        <v>0</v>
      </c>
      <c r="AA67" s="44">
        <f t="shared" si="68"/>
        <v>5516.302183001002</v>
      </c>
      <c r="AB67" s="35">
        <f t="shared" si="69"/>
        <v>22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271.62998987071711</v>
      </c>
      <c r="AD67" s="57">
        <v>0</v>
      </c>
      <c r="AE67" s="57">
        <v>1</v>
      </c>
      <c r="AF67" s="61">
        <f t="shared" si="57"/>
        <v>21</v>
      </c>
      <c r="AG67" s="40">
        <f t="shared" si="70"/>
        <v>0</v>
      </c>
      <c r="AH67" s="40">
        <f t="shared" si="71"/>
        <v>-271.62998987071711</v>
      </c>
      <c r="AI67" s="44">
        <f t="shared" si="72"/>
        <v>5704.2297872850595</v>
      </c>
      <c r="AJ67" s="35">
        <f t="shared" si="58"/>
        <v>21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293.70902182927438</v>
      </c>
      <c r="AL67" s="57">
        <v>0</v>
      </c>
      <c r="AM67" s="57">
        <v>0</v>
      </c>
      <c r="AN67" s="61">
        <f t="shared" si="59"/>
        <v>21</v>
      </c>
      <c r="AO67" s="40">
        <f t="shared" si="73"/>
        <v>0</v>
      </c>
      <c r="AP67" s="40">
        <f t="shared" si="74"/>
        <v>0</v>
      </c>
      <c r="AQ67" s="44">
        <f t="shared" si="75"/>
        <v>6167.889458414762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37</v>
      </c>
      <c r="G68" s="35">
        <f>SUMIFS(WORKING!$AC$3:$AC$6802,WORKING!$A$3:$A$6802,Results!$D$3,WORKING!$B$3:$B$6802,Results!A68,WORKING!$C$3:$C$6802,Results!C68)/1000</f>
        <v>7553.9223899999979</v>
      </c>
      <c r="H68" s="35">
        <f t="shared" si="60"/>
        <v>204.16006459459453</v>
      </c>
      <c r="I68" s="187">
        <v>39</v>
      </c>
      <c r="J68" s="212">
        <v>8892</v>
      </c>
      <c r="K68" s="217">
        <f t="shared" si="61"/>
        <v>228</v>
      </c>
      <c r="L68" s="34">
        <f t="shared" si="54"/>
        <v>39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247.72333045127516</v>
      </c>
      <c r="N68" s="57">
        <v>0</v>
      </c>
      <c r="O68" s="57">
        <v>7</v>
      </c>
      <c r="P68" s="61">
        <f t="shared" si="55"/>
        <v>32</v>
      </c>
      <c r="Q68" s="40">
        <f t="shared" si="62"/>
        <v>0</v>
      </c>
      <c r="R68" s="40">
        <f t="shared" si="63"/>
        <v>-1734.0633131589261</v>
      </c>
      <c r="S68" s="44">
        <f t="shared" si="64"/>
        <v>7927.1465744408051</v>
      </c>
      <c r="T68" s="35">
        <f t="shared" si="65"/>
        <v>32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268.64227518535296</v>
      </c>
      <c r="V68" s="57">
        <v>0</v>
      </c>
      <c r="W68" s="57">
        <v>0</v>
      </c>
      <c r="X68" s="61">
        <f t="shared" si="56"/>
        <v>32</v>
      </c>
      <c r="Y68" s="40">
        <f t="shared" si="66"/>
        <v>0</v>
      </c>
      <c r="Z68" s="40">
        <f t="shared" si="67"/>
        <v>0</v>
      </c>
      <c r="AA68" s="44">
        <f t="shared" si="68"/>
        <v>8596.5528059312946</v>
      </c>
      <c r="AB68" s="35">
        <f t="shared" si="69"/>
        <v>32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291.05551664485716</v>
      </c>
      <c r="AD68" s="57">
        <v>0</v>
      </c>
      <c r="AE68" s="57">
        <v>1</v>
      </c>
      <c r="AF68" s="61">
        <f t="shared" si="57"/>
        <v>31</v>
      </c>
      <c r="AG68" s="40">
        <f t="shared" si="70"/>
        <v>0</v>
      </c>
      <c r="AH68" s="40">
        <f t="shared" si="71"/>
        <v>-291.05551664485716</v>
      </c>
      <c r="AI68" s="44">
        <f t="shared" si="72"/>
        <v>9022.7210159905717</v>
      </c>
      <c r="AJ68" s="35">
        <f t="shared" si="58"/>
        <v>31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314.74891122571108</v>
      </c>
      <c r="AL68" s="57">
        <v>0</v>
      </c>
      <c r="AM68" s="57">
        <v>0</v>
      </c>
      <c r="AN68" s="61">
        <f t="shared" si="59"/>
        <v>31</v>
      </c>
      <c r="AO68" s="40">
        <f t="shared" si="73"/>
        <v>0</v>
      </c>
      <c r="AP68" s="40">
        <f t="shared" si="74"/>
        <v>0</v>
      </c>
      <c r="AQ68" s="44">
        <f t="shared" si="75"/>
        <v>9757.216247997043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29</v>
      </c>
      <c r="G69" s="35">
        <f>SUMIFS(WORKING!$AC$3:$AC$6802,WORKING!$A$3:$A$6802,Results!$D$3,WORKING!$B$3:$B$6802,Results!A69,WORKING!$C$3:$C$6802,Results!C69)/1000</f>
        <v>7476.2946900000015</v>
      </c>
      <c r="H69" s="35">
        <f t="shared" si="60"/>
        <v>257.80326517241383</v>
      </c>
      <c r="I69" s="187">
        <v>32</v>
      </c>
      <c r="J69" s="212">
        <v>8544</v>
      </c>
      <c r="K69" s="217">
        <f t="shared" si="61"/>
        <v>267</v>
      </c>
      <c r="L69" s="34">
        <f t="shared" si="54"/>
        <v>32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290.43453376107851</v>
      </c>
      <c r="N69" s="57">
        <v>0</v>
      </c>
      <c r="O69" s="57">
        <v>3</v>
      </c>
      <c r="P69" s="61">
        <f t="shared" si="55"/>
        <v>29</v>
      </c>
      <c r="Q69" s="40">
        <f t="shared" si="62"/>
        <v>0</v>
      </c>
      <c r="R69" s="40">
        <f t="shared" si="63"/>
        <v>-871.30360128323559</v>
      </c>
      <c r="S69" s="44">
        <f t="shared" si="64"/>
        <v>8422.6014790712761</v>
      </c>
      <c r="T69" s="35">
        <f t="shared" si="65"/>
        <v>29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315.06251880754223</v>
      </c>
      <c r="V69" s="57">
        <v>0</v>
      </c>
      <c r="W69" s="57">
        <v>0</v>
      </c>
      <c r="X69" s="61">
        <f t="shared" si="56"/>
        <v>29</v>
      </c>
      <c r="Y69" s="40">
        <f t="shared" si="66"/>
        <v>0</v>
      </c>
      <c r="Z69" s="40">
        <f t="shared" si="67"/>
        <v>0</v>
      </c>
      <c r="AA69" s="44">
        <f t="shared" si="68"/>
        <v>9136.8130454187249</v>
      </c>
      <c r="AB69" s="35">
        <f t="shared" si="69"/>
        <v>29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341.45964575926041</v>
      </c>
      <c r="AD69" s="57">
        <v>0</v>
      </c>
      <c r="AE69" s="57">
        <v>2</v>
      </c>
      <c r="AF69" s="61">
        <f t="shared" si="57"/>
        <v>27</v>
      </c>
      <c r="AG69" s="40">
        <f t="shared" si="70"/>
        <v>0</v>
      </c>
      <c r="AH69" s="40">
        <f t="shared" si="71"/>
        <v>-682.91929151852082</v>
      </c>
      <c r="AI69" s="44">
        <f t="shared" si="72"/>
        <v>9219.4104355000309</v>
      </c>
      <c r="AJ69" s="35">
        <f t="shared" si="58"/>
        <v>27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369.3764536824055</v>
      </c>
      <c r="AL69" s="57">
        <v>0</v>
      </c>
      <c r="AM69" s="57">
        <v>0</v>
      </c>
      <c r="AN69" s="61">
        <f t="shared" si="59"/>
        <v>27</v>
      </c>
      <c r="AO69" s="40">
        <f t="shared" si="73"/>
        <v>0</v>
      </c>
      <c r="AP69" s="40">
        <f t="shared" si="74"/>
        <v>0</v>
      </c>
      <c r="AQ69" s="44">
        <f t="shared" si="75"/>
        <v>9973.1642494249481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69</v>
      </c>
      <c r="G70" s="35">
        <f>SUMIFS(WORKING!$AC$3:$AC$6802,WORKING!$A$3:$A$6802,Results!$D$3,WORKING!$B$3:$B$6802,Results!A70,WORKING!$C$3:$C$6802,Results!C70)/1000</f>
        <v>19458.698549999994</v>
      </c>
      <c r="H70" s="35">
        <f t="shared" si="60"/>
        <v>282.0101239130434</v>
      </c>
      <c r="I70" s="187">
        <v>68</v>
      </c>
      <c r="J70" s="212" t="s">
        <v>754</v>
      </c>
      <c r="K70" s="217">
        <f t="shared" si="61"/>
        <v>286.15733161764695</v>
      </c>
      <c r="L70" s="34">
        <f t="shared" si="54"/>
        <v>68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311.58141999642561</v>
      </c>
      <c r="N70" s="57">
        <v>3</v>
      </c>
      <c r="O70" s="57">
        <v>0</v>
      </c>
      <c r="P70" s="61">
        <f t="shared" si="55"/>
        <v>71</v>
      </c>
      <c r="Q70" s="40">
        <f t="shared" si="62"/>
        <v>934.74425998927677</v>
      </c>
      <c r="R70" s="40">
        <f t="shared" si="63"/>
        <v>0</v>
      </c>
      <c r="S70" s="44">
        <f t="shared" si="64"/>
        <v>22122.280819746218</v>
      </c>
      <c r="T70" s="35">
        <f t="shared" si="65"/>
        <v>71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338.09974972304872</v>
      </c>
      <c r="V70" s="57">
        <v>0</v>
      </c>
      <c r="W70" s="57">
        <v>0</v>
      </c>
      <c r="X70" s="61">
        <f t="shared" si="56"/>
        <v>71</v>
      </c>
      <c r="Y70" s="40">
        <f t="shared" si="66"/>
        <v>0</v>
      </c>
      <c r="Z70" s="40">
        <f t="shared" si="67"/>
        <v>0</v>
      </c>
      <c r="AA70" s="44">
        <f t="shared" si="68"/>
        <v>24005.082230336458</v>
      </c>
      <c r="AB70" s="35">
        <f t="shared" si="69"/>
        <v>71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366.53224677398936</v>
      </c>
      <c r="AD70" s="57">
        <v>0</v>
      </c>
      <c r="AE70" s="57">
        <v>6</v>
      </c>
      <c r="AF70" s="61">
        <f t="shared" si="57"/>
        <v>65</v>
      </c>
      <c r="AG70" s="40">
        <f t="shared" si="70"/>
        <v>0</v>
      </c>
      <c r="AH70" s="40">
        <f t="shared" si="71"/>
        <v>-2199.1934806439363</v>
      </c>
      <c r="AI70" s="44">
        <f t="shared" si="72"/>
        <v>23824.596040309309</v>
      </c>
      <c r="AJ70" s="35">
        <f t="shared" si="58"/>
        <v>65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396.6125696228965</v>
      </c>
      <c r="AL70" s="57">
        <v>0</v>
      </c>
      <c r="AM70" s="57">
        <v>2</v>
      </c>
      <c r="AN70" s="61">
        <f t="shared" si="59"/>
        <v>63</v>
      </c>
      <c r="AO70" s="40">
        <f t="shared" si="73"/>
        <v>0</v>
      </c>
      <c r="AP70" s="40">
        <f t="shared" si="74"/>
        <v>-793.225139245793</v>
      </c>
      <c r="AQ70" s="44">
        <f t="shared" si="75"/>
        <v>24986.591886242481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27</v>
      </c>
      <c r="G71" s="35">
        <f>SUMIFS(WORKING!$AC$3:$AC$6802,WORKING!$A$3:$A$6802,Results!$D$3,WORKING!$B$3:$B$6802,Results!A71,WORKING!$C$3:$C$6802,Results!C71)/1000</f>
        <v>10420.039650000001</v>
      </c>
      <c r="H71" s="35">
        <f>IFERROR(G71/F71,0)</f>
        <v>385.92739444444447</v>
      </c>
      <c r="I71" s="187">
        <v>33</v>
      </c>
      <c r="J71" s="212">
        <v>12408</v>
      </c>
      <c r="K71" s="217">
        <f t="shared" si="61"/>
        <v>376</v>
      </c>
      <c r="L71" s="34">
        <f t="shared" si="54"/>
        <v>33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409.52418555949004</v>
      </c>
      <c r="N71" s="57">
        <v>0</v>
      </c>
      <c r="O71" s="57">
        <v>5</v>
      </c>
      <c r="P71" s="61">
        <f t="shared" si="55"/>
        <v>28</v>
      </c>
      <c r="Q71" s="40">
        <f t="shared" si="62"/>
        <v>0</v>
      </c>
      <c r="R71" s="40">
        <f t="shared" si="63"/>
        <v>-2047.6209277974501</v>
      </c>
      <c r="S71" s="44">
        <f t="shared" si="64"/>
        <v>11466.677195665721</v>
      </c>
      <c r="T71" s="35">
        <f t="shared" si="65"/>
        <v>28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444.41415652808058</v>
      </c>
      <c r="V71" s="57">
        <v>0</v>
      </c>
      <c r="W71" s="57">
        <v>0</v>
      </c>
      <c r="X71" s="61">
        <f t="shared" si="56"/>
        <v>28</v>
      </c>
      <c r="Y71" s="40">
        <f t="shared" si="66"/>
        <v>0</v>
      </c>
      <c r="Z71" s="40">
        <f t="shared" si="67"/>
        <v>0</v>
      </c>
      <c r="AA71" s="44">
        <f t="shared" si="68"/>
        <v>12443.596382786256</v>
      </c>
      <c r="AB71" s="35">
        <f t="shared" si="69"/>
        <v>28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481.82607076055899</v>
      </c>
      <c r="AD71" s="57">
        <v>0</v>
      </c>
      <c r="AE71" s="57">
        <v>2</v>
      </c>
      <c r="AF71" s="61">
        <f t="shared" si="57"/>
        <v>26</v>
      </c>
      <c r="AG71" s="40">
        <f t="shared" si="70"/>
        <v>0</v>
      </c>
      <c r="AH71" s="40">
        <f t="shared" si="71"/>
        <v>-963.65214152111798</v>
      </c>
      <c r="AI71" s="44">
        <f t="shared" si="72"/>
        <v>12527.477839774534</v>
      </c>
      <c r="AJ71" s="35">
        <f t="shared" si="58"/>
        <v>26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521.41044661210003</v>
      </c>
      <c r="AL71" s="57">
        <v>0</v>
      </c>
      <c r="AM71" s="57">
        <v>0</v>
      </c>
      <c r="AN71" s="61">
        <f t="shared" si="59"/>
        <v>26</v>
      </c>
      <c r="AO71" s="40">
        <f t="shared" si="73"/>
        <v>0</v>
      </c>
      <c r="AP71" s="40">
        <f t="shared" si="74"/>
        <v>0</v>
      </c>
      <c r="AQ71" s="44">
        <f t="shared" si="75"/>
        <v>13556.6716119146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54</v>
      </c>
      <c r="G72" s="35">
        <f>SUMIFS(WORKING!$AC$3:$AC$6802,WORKING!$A$3:$A$6802,Results!$D$3,WORKING!$B$3:$B$6802,Results!A72,WORKING!$C$3:$C$6802,Results!C72)/1000</f>
        <v>22976.375720000004</v>
      </c>
      <c r="H72" s="35">
        <f t="shared" si="60"/>
        <v>425.48843925925934</v>
      </c>
      <c r="I72" s="187">
        <v>62</v>
      </c>
      <c r="J72" s="212">
        <v>27094</v>
      </c>
      <c r="K72" s="217">
        <f>IFERROR(IF(J72="",G72,J72)/IF(I72="",F72,I72),"")</f>
        <v>437</v>
      </c>
      <c r="L72" s="34">
        <f t="shared" si="54"/>
        <v>62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476.20981676832332</v>
      </c>
      <c r="N72" s="57">
        <v>0</v>
      </c>
      <c r="O72" s="57">
        <v>7</v>
      </c>
      <c r="P72" s="61">
        <f t="shared" si="55"/>
        <v>55</v>
      </c>
      <c r="Q72" s="40">
        <f t="shared" si="62"/>
        <v>0</v>
      </c>
      <c r="R72" s="40">
        <f t="shared" si="63"/>
        <v>-3333.4687173782631</v>
      </c>
      <c r="S72" s="44">
        <f t="shared" si="64"/>
        <v>26191.539922257783</v>
      </c>
      <c r="T72" s="35">
        <f t="shared" si="65"/>
        <v>55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516.85833922892493</v>
      </c>
      <c r="V72" s="57">
        <v>0</v>
      </c>
      <c r="W72" s="57">
        <v>0</v>
      </c>
      <c r="X72" s="61">
        <f t="shared" si="56"/>
        <v>55</v>
      </c>
      <c r="Y72" s="40">
        <f t="shared" si="66"/>
        <v>0</v>
      </c>
      <c r="Z72" s="40">
        <f t="shared" si="67"/>
        <v>0</v>
      </c>
      <c r="AA72" s="44">
        <f t="shared" si="68"/>
        <v>28427.208657590872</v>
      </c>
      <c r="AB72" s="35">
        <f t="shared" si="69"/>
        <v>55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560.45243254571835</v>
      </c>
      <c r="AD72" s="57">
        <v>0</v>
      </c>
      <c r="AE72" s="57">
        <v>7</v>
      </c>
      <c r="AF72" s="61">
        <f t="shared" si="57"/>
        <v>48</v>
      </c>
      <c r="AG72" s="40">
        <f t="shared" si="70"/>
        <v>0</v>
      </c>
      <c r="AH72" s="40">
        <f t="shared" si="71"/>
        <v>-3923.1670278200286</v>
      </c>
      <c r="AI72" s="44">
        <f t="shared" si="72"/>
        <v>26901.716762194483</v>
      </c>
      <c r="AJ72" s="35">
        <f t="shared" si="58"/>
        <v>48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606.58678227330597</v>
      </c>
      <c r="AL72" s="57">
        <v>0</v>
      </c>
      <c r="AM72" s="57">
        <v>0</v>
      </c>
      <c r="AN72" s="61">
        <f t="shared" si="59"/>
        <v>48</v>
      </c>
      <c r="AO72" s="40">
        <f t="shared" si="73"/>
        <v>0</v>
      </c>
      <c r="AP72" s="40">
        <f t="shared" si="74"/>
        <v>0</v>
      </c>
      <c r="AQ72" s="44">
        <f t="shared" si="75"/>
        <v>29116.165549118687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16</v>
      </c>
      <c r="G73" s="35">
        <f>SUMIFS(WORKING!$AC$3:$AC$6802,WORKING!$A$3:$A$6802,Results!$D$3,WORKING!$B$3:$B$6802,Results!A73,WORKING!$C$3:$C$6802,Results!C73)/1000</f>
        <v>7914.8502100000005</v>
      </c>
      <c r="H73" s="35">
        <f t="shared" si="60"/>
        <v>494.67813812500003</v>
      </c>
      <c r="I73" s="187">
        <v>10</v>
      </c>
      <c r="J73" s="212">
        <v>4090</v>
      </c>
      <c r="K73" s="217">
        <f t="shared" si="61"/>
        <v>409</v>
      </c>
      <c r="L73" s="34">
        <f t="shared" si="54"/>
        <v>10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445.90586939174193</v>
      </c>
      <c r="N73" s="57">
        <v>1</v>
      </c>
      <c r="O73" s="57">
        <v>0</v>
      </c>
      <c r="P73" s="61">
        <f t="shared" si="55"/>
        <v>11</v>
      </c>
      <c r="Q73" s="40">
        <f t="shared" si="62"/>
        <v>445.90586939174193</v>
      </c>
      <c r="R73" s="40">
        <f t="shared" si="63"/>
        <v>0</v>
      </c>
      <c r="S73" s="44">
        <f t="shared" si="64"/>
        <v>4904.9645633091613</v>
      </c>
      <c r="T73" s="35">
        <f t="shared" si="65"/>
        <v>11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484.03341279065836</v>
      </c>
      <c r="V73" s="57">
        <v>0</v>
      </c>
      <c r="W73" s="57">
        <v>0</v>
      </c>
      <c r="X73" s="61">
        <f t="shared" si="56"/>
        <v>11</v>
      </c>
      <c r="Y73" s="40">
        <f t="shared" si="66"/>
        <v>0</v>
      </c>
      <c r="Z73" s="40">
        <f t="shared" si="67"/>
        <v>0</v>
      </c>
      <c r="AA73" s="44">
        <f t="shared" si="68"/>
        <v>5324.3675406972416</v>
      </c>
      <c r="AB73" s="35">
        <f t="shared" si="69"/>
        <v>11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524.93011470963336</v>
      </c>
      <c r="AD73" s="57">
        <v>3</v>
      </c>
      <c r="AE73" s="57">
        <v>0</v>
      </c>
      <c r="AF73" s="61">
        <f t="shared" si="57"/>
        <v>14</v>
      </c>
      <c r="AG73" s="40">
        <f t="shared" si="70"/>
        <v>1574.7903441289</v>
      </c>
      <c r="AH73" s="40">
        <f t="shared" si="71"/>
        <v>0</v>
      </c>
      <c r="AI73" s="44">
        <f t="shared" si="72"/>
        <v>7349.0216059348668</v>
      </c>
      <c r="AJ73" s="35">
        <f t="shared" si="58"/>
        <v>14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568.2173384065236</v>
      </c>
      <c r="AL73" s="57">
        <v>0</v>
      </c>
      <c r="AM73" s="57">
        <v>0</v>
      </c>
      <c r="AN73" s="61">
        <f t="shared" si="59"/>
        <v>14</v>
      </c>
      <c r="AO73" s="40">
        <f t="shared" si="73"/>
        <v>0</v>
      </c>
      <c r="AP73" s="40">
        <f t="shared" si="74"/>
        <v>0</v>
      </c>
      <c r="AQ73" s="44">
        <f t="shared" si="75"/>
        <v>7955.0427376913303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37</v>
      </c>
      <c r="G74" s="35">
        <f>SUMIFS(WORKING!$AC$3:$AC$6802,WORKING!$A$3:$A$6802,Results!$D$3,WORKING!$B$3:$B$6802,Results!A74,WORKING!$C$3:$C$6802,Results!C74)/1000</f>
        <v>25569.291369999988</v>
      </c>
      <c r="H74" s="35">
        <f t="shared" si="60"/>
        <v>691.06192891891862</v>
      </c>
      <c r="I74" s="187">
        <v>41</v>
      </c>
      <c r="J74" s="212" t="s">
        <v>754</v>
      </c>
      <c r="K74" s="217">
        <f t="shared" si="61"/>
        <v>623.641252926829</v>
      </c>
      <c r="L74" s="34">
        <f t="shared" si="54"/>
        <v>41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680.99093594883391</v>
      </c>
      <c r="N74" s="57">
        <v>0</v>
      </c>
      <c r="O74" s="57">
        <v>3</v>
      </c>
      <c r="P74" s="61">
        <f t="shared" si="55"/>
        <v>38</v>
      </c>
      <c r="Q74" s="40">
        <f t="shared" si="62"/>
        <v>0</v>
      </c>
      <c r="R74" s="40">
        <f t="shared" si="63"/>
        <v>-2042.9728078465018</v>
      </c>
      <c r="S74" s="44">
        <f t="shared" si="64"/>
        <v>25877.655566055688</v>
      </c>
      <c r="T74" s="35">
        <f t="shared" si="65"/>
        <v>38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739.46791306426417</v>
      </c>
      <c r="V74" s="57">
        <v>0</v>
      </c>
      <c r="W74" s="57">
        <v>0</v>
      </c>
      <c r="X74" s="61">
        <f t="shared" si="56"/>
        <v>38</v>
      </c>
      <c r="Y74" s="40">
        <f t="shared" si="66"/>
        <v>0</v>
      </c>
      <c r="Z74" s="40">
        <f t="shared" si="67"/>
        <v>0</v>
      </c>
      <c r="AA74" s="44">
        <f t="shared" si="68"/>
        <v>28099.780696442038</v>
      </c>
      <c r="AB74" s="35">
        <f t="shared" si="69"/>
        <v>38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802.21589689095322</v>
      </c>
      <c r="AD74" s="57">
        <v>0</v>
      </c>
      <c r="AE74" s="57">
        <v>6</v>
      </c>
      <c r="AF74" s="61">
        <f t="shared" si="57"/>
        <v>32</v>
      </c>
      <c r="AG74" s="40">
        <f t="shared" si="70"/>
        <v>0</v>
      </c>
      <c r="AH74" s="40">
        <f t="shared" si="71"/>
        <v>-4813.2953813457189</v>
      </c>
      <c r="AI74" s="44">
        <f t="shared" si="72"/>
        <v>25670.908700510503</v>
      </c>
      <c r="AJ74" s="35">
        <f t="shared" si="58"/>
        <v>32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868.66016872318426</v>
      </c>
      <c r="AL74" s="57">
        <v>0</v>
      </c>
      <c r="AM74" s="57">
        <v>0</v>
      </c>
      <c r="AN74" s="61">
        <f t="shared" si="59"/>
        <v>32</v>
      </c>
      <c r="AO74" s="40">
        <f t="shared" si="73"/>
        <v>0</v>
      </c>
      <c r="AP74" s="40">
        <f t="shared" si="74"/>
        <v>0</v>
      </c>
      <c r="AQ74" s="44">
        <f t="shared" si="75"/>
        <v>27797.125399141896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20</v>
      </c>
      <c r="G75" s="35">
        <f>SUMIFS(WORKING!$AC$3:$AC$6802,WORKING!$A$3:$A$6802,Results!$D$3,WORKING!$B$3:$B$6802,Results!A75,WORKING!$C$3:$C$6802,Results!C75)/1000</f>
        <v>13918.955509999998</v>
      </c>
      <c r="H75" s="35">
        <f t="shared" si="60"/>
        <v>695.94777549999992</v>
      </c>
      <c r="I75" s="187">
        <v>18</v>
      </c>
      <c r="J75" s="212" t="s">
        <v>754</v>
      </c>
      <c r="K75" s="217">
        <f t="shared" si="61"/>
        <v>773.27530611111104</v>
      </c>
      <c r="L75" s="34">
        <f t="shared" si="54"/>
        <v>18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844.2842054069223</v>
      </c>
      <c r="N75" s="57">
        <v>0</v>
      </c>
      <c r="O75" s="57">
        <v>0</v>
      </c>
      <c r="P75" s="61">
        <f t="shared" si="55"/>
        <v>18</v>
      </c>
      <c r="Q75" s="40">
        <f t="shared" si="62"/>
        <v>0</v>
      </c>
      <c r="R75" s="40">
        <f t="shared" si="63"/>
        <v>0</v>
      </c>
      <c r="S75" s="44">
        <f t="shared" si="64"/>
        <v>15197.115697324602</v>
      </c>
      <c r="T75" s="35">
        <f t="shared" si="65"/>
        <v>18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916.67353721926747</v>
      </c>
      <c r="V75" s="57">
        <v>0</v>
      </c>
      <c r="W75" s="57">
        <v>0</v>
      </c>
      <c r="X75" s="61">
        <f t="shared" si="56"/>
        <v>18</v>
      </c>
      <c r="Y75" s="40">
        <f t="shared" si="66"/>
        <v>0</v>
      </c>
      <c r="Z75" s="40">
        <f t="shared" si="67"/>
        <v>0</v>
      </c>
      <c r="AA75" s="44">
        <f t="shared" si="68"/>
        <v>16500.123669946814</v>
      </c>
      <c r="AB75" s="35">
        <f t="shared" si="69"/>
        <v>18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994.33940651190323</v>
      </c>
      <c r="AD75" s="57">
        <v>0</v>
      </c>
      <c r="AE75" s="57">
        <v>0</v>
      </c>
      <c r="AF75" s="61">
        <f t="shared" si="57"/>
        <v>18</v>
      </c>
      <c r="AG75" s="40">
        <f t="shared" si="70"/>
        <v>0</v>
      </c>
      <c r="AH75" s="40">
        <f t="shared" si="71"/>
        <v>0</v>
      </c>
      <c r="AI75" s="44">
        <f t="shared" si="72"/>
        <v>17898.109317214257</v>
      </c>
      <c r="AJ75" s="35">
        <f t="shared" si="58"/>
        <v>18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1076.5676424893577</v>
      </c>
      <c r="AL75" s="57">
        <v>0</v>
      </c>
      <c r="AM75" s="57">
        <v>0</v>
      </c>
      <c r="AN75" s="61">
        <f t="shared" si="59"/>
        <v>18</v>
      </c>
      <c r="AO75" s="40">
        <f t="shared" si="73"/>
        <v>0</v>
      </c>
      <c r="AP75" s="40">
        <f t="shared" si="74"/>
        <v>0</v>
      </c>
      <c r="AQ75" s="44">
        <f t="shared" si="75"/>
        <v>19378.217564808438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29</v>
      </c>
      <c r="G76" s="35">
        <f>SUMIFS(WORKING!$AC$3:$AC$6802,WORKING!$A$3:$A$6802,Results!$D$3,WORKING!$B$3:$B$6802,Results!A76,WORKING!$C$3:$C$6802,Results!C76)/1000</f>
        <v>27673.721700000002</v>
      </c>
      <c r="H76" s="35">
        <f t="shared" si="60"/>
        <v>954.26626551724144</v>
      </c>
      <c r="I76" s="187">
        <v>34</v>
      </c>
      <c r="J76" s="212">
        <v>32096</v>
      </c>
      <c r="K76" s="217">
        <f t="shared" si="61"/>
        <v>944</v>
      </c>
      <c r="L76" s="34">
        <f t="shared" si="54"/>
        <v>34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989.17330260478593</v>
      </c>
      <c r="N76" s="57">
        <v>0</v>
      </c>
      <c r="O76" s="57">
        <v>2</v>
      </c>
      <c r="P76" s="61">
        <f t="shared" si="55"/>
        <v>32</v>
      </c>
      <c r="Q76" s="40">
        <f t="shared" si="62"/>
        <v>0</v>
      </c>
      <c r="R76" s="40">
        <f t="shared" si="63"/>
        <v>-1978.3466052095719</v>
      </c>
      <c r="S76" s="44">
        <f t="shared" si="64"/>
        <v>31653.54568335315</v>
      </c>
      <c r="T76" s="35">
        <f t="shared" si="65"/>
        <v>32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1063.5999843524116</v>
      </c>
      <c r="V76" s="57">
        <v>0</v>
      </c>
      <c r="W76" s="57">
        <v>0</v>
      </c>
      <c r="X76" s="61">
        <f t="shared" si="56"/>
        <v>32</v>
      </c>
      <c r="Y76" s="40">
        <f t="shared" si="66"/>
        <v>0</v>
      </c>
      <c r="Z76" s="40">
        <f t="shared" si="67"/>
        <v>0</v>
      </c>
      <c r="AA76" s="44">
        <f t="shared" si="68"/>
        <v>34035.199499277172</v>
      </c>
      <c r="AB76" s="35">
        <f t="shared" si="69"/>
        <v>32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1142.5477330851372</v>
      </c>
      <c r="AD76" s="57">
        <v>0</v>
      </c>
      <c r="AE76" s="57">
        <v>7</v>
      </c>
      <c r="AF76" s="61">
        <f t="shared" si="57"/>
        <v>25</v>
      </c>
      <c r="AG76" s="40">
        <f t="shared" si="70"/>
        <v>0</v>
      </c>
      <c r="AH76" s="40">
        <f t="shared" si="71"/>
        <v>-7997.8341315959606</v>
      </c>
      <c r="AI76" s="44">
        <f t="shared" si="72"/>
        <v>28563.693327128429</v>
      </c>
      <c r="AJ76" s="35">
        <f t="shared" si="58"/>
        <v>25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1225.0375779848109</v>
      </c>
      <c r="AL76" s="57">
        <v>0</v>
      </c>
      <c r="AM76" s="57">
        <v>0</v>
      </c>
      <c r="AN76" s="61">
        <f t="shared" si="59"/>
        <v>25</v>
      </c>
      <c r="AO76" s="40">
        <f t="shared" si="73"/>
        <v>0</v>
      </c>
      <c r="AP76" s="40">
        <f t="shared" si="74"/>
        <v>0</v>
      </c>
      <c r="AQ76" s="44">
        <f t="shared" si="75"/>
        <v>30625.939449620273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13</v>
      </c>
      <c r="G77" s="35">
        <f>SUMIFS(WORKING!$AC$3:$AC$6802,WORKING!$A$3:$A$6802,Results!$D$3,WORKING!$B$3:$B$6802,Results!A77,WORKING!$C$3:$C$6802,Results!C77)/1000</f>
        <v>14933.016310000001</v>
      </c>
      <c r="H77" s="35">
        <f t="shared" si="60"/>
        <v>1148.6935623076924</v>
      </c>
      <c r="I77" s="187">
        <v>15</v>
      </c>
      <c r="J77" s="212">
        <v>17055</v>
      </c>
      <c r="K77" s="217">
        <f t="shared" si="61"/>
        <v>1137</v>
      </c>
      <c r="L77" s="34">
        <f t="shared" si="54"/>
        <v>15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1191.919409793177</v>
      </c>
      <c r="N77" s="57">
        <v>0</v>
      </c>
      <c r="O77" s="57">
        <v>2</v>
      </c>
      <c r="P77" s="61">
        <f t="shared" si="55"/>
        <v>13</v>
      </c>
      <c r="Q77" s="40">
        <f t="shared" si="62"/>
        <v>0</v>
      </c>
      <c r="R77" s="40">
        <f t="shared" si="63"/>
        <v>-2383.838819586354</v>
      </c>
      <c r="S77" s="44">
        <f t="shared" si="64"/>
        <v>15494.952327311301</v>
      </c>
      <c r="T77" s="35">
        <f t="shared" si="65"/>
        <v>13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1282.1500783793722</v>
      </c>
      <c r="V77" s="57">
        <v>0</v>
      </c>
      <c r="W77" s="57">
        <v>0</v>
      </c>
      <c r="X77" s="61">
        <f t="shared" si="56"/>
        <v>13</v>
      </c>
      <c r="Y77" s="40">
        <f t="shared" si="66"/>
        <v>0</v>
      </c>
      <c r="Z77" s="40">
        <f t="shared" si="67"/>
        <v>0</v>
      </c>
      <c r="AA77" s="44">
        <f t="shared" si="68"/>
        <v>16667.951018931839</v>
      </c>
      <c r="AB77" s="35">
        <f t="shared" si="69"/>
        <v>13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1377.9102451167939</v>
      </c>
      <c r="AD77" s="57">
        <v>0</v>
      </c>
      <c r="AE77" s="57">
        <v>3</v>
      </c>
      <c r="AF77" s="61">
        <f t="shared" si="57"/>
        <v>10</v>
      </c>
      <c r="AG77" s="40">
        <f t="shared" si="70"/>
        <v>0</v>
      </c>
      <c r="AH77" s="40">
        <f t="shared" si="71"/>
        <v>-4133.730735350382</v>
      </c>
      <c r="AI77" s="44">
        <f t="shared" si="72"/>
        <v>13779.102451167939</v>
      </c>
      <c r="AJ77" s="35">
        <f t="shared" si="58"/>
        <v>10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1478.0258251454959</v>
      </c>
      <c r="AL77" s="57">
        <v>0</v>
      </c>
      <c r="AM77" s="57">
        <v>0</v>
      </c>
      <c r="AN77" s="61">
        <f t="shared" si="59"/>
        <v>10</v>
      </c>
      <c r="AO77" s="40">
        <f t="shared" si="73"/>
        <v>0</v>
      </c>
      <c r="AP77" s="40">
        <f t="shared" si="74"/>
        <v>0</v>
      </c>
      <c r="AQ77" s="44">
        <f t="shared" si="75"/>
        <v>14780.258251454959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3</v>
      </c>
      <c r="G78" s="35">
        <f>SUMIFS(WORKING!$AC$3:$AC$6802,WORKING!$A$3:$A$6802,Results!$D$3,WORKING!$B$3:$B$6802,Results!A78,WORKING!$C$3:$C$6802,Results!C78)/1000</f>
        <v>4265.9565900000007</v>
      </c>
      <c r="H78" s="35">
        <f t="shared" si="60"/>
        <v>1421.9855300000002</v>
      </c>
      <c r="I78" s="187">
        <v>3</v>
      </c>
      <c r="J78" s="212">
        <v>4083</v>
      </c>
      <c r="K78" s="217">
        <f t="shared" si="61"/>
        <v>1361</v>
      </c>
      <c r="L78" s="34">
        <f t="shared" si="54"/>
        <v>3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1426.8968442635073</v>
      </c>
      <c r="N78" s="57">
        <v>0</v>
      </c>
      <c r="O78" s="57">
        <v>0</v>
      </c>
      <c r="P78" s="61">
        <f t="shared" si="55"/>
        <v>3</v>
      </c>
      <c r="Q78" s="40">
        <f t="shared" si="62"/>
        <v>0</v>
      </c>
      <c r="R78" s="40">
        <f t="shared" si="63"/>
        <v>0</v>
      </c>
      <c r="S78" s="44">
        <f t="shared" si="64"/>
        <v>4280.6905327905224</v>
      </c>
      <c r="T78" s="35">
        <f t="shared" si="65"/>
        <v>3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1535.0855141244913</v>
      </c>
      <c r="V78" s="57">
        <v>0</v>
      </c>
      <c r="W78" s="57">
        <v>0</v>
      </c>
      <c r="X78" s="61">
        <f t="shared" si="56"/>
        <v>3</v>
      </c>
      <c r="Y78" s="40">
        <f t="shared" si="66"/>
        <v>0</v>
      </c>
      <c r="Z78" s="40">
        <f t="shared" si="67"/>
        <v>0</v>
      </c>
      <c r="AA78" s="44">
        <f t="shared" si="68"/>
        <v>4605.2565423734741</v>
      </c>
      <c r="AB78" s="35">
        <f t="shared" si="69"/>
        <v>3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1649.9191540655884</v>
      </c>
      <c r="AD78" s="57">
        <v>2</v>
      </c>
      <c r="AE78" s="57">
        <v>0</v>
      </c>
      <c r="AF78" s="61">
        <f t="shared" si="57"/>
        <v>5</v>
      </c>
      <c r="AG78" s="40">
        <f t="shared" si="70"/>
        <v>3299.8383081311767</v>
      </c>
      <c r="AH78" s="40">
        <f t="shared" si="71"/>
        <v>0</v>
      </c>
      <c r="AI78" s="44">
        <f t="shared" si="72"/>
        <v>8249.5957703279419</v>
      </c>
      <c r="AJ78" s="35">
        <f t="shared" si="58"/>
        <v>5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1769.9939519564809</v>
      </c>
      <c r="AL78" s="57">
        <v>0</v>
      </c>
      <c r="AM78" s="57">
        <v>0</v>
      </c>
      <c r="AN78" s="61">
        <f t="shared" si="59"/>
        <v>5</v>
      </c>
      <c r="AO78" s="40">
        <f t="shared" si="73"/>
        <v>0</v>
      </c>
      <c r="AP78" s="40">
        <f t="shared" si="74"/>
        <v>0</v>
      </c>
      <c r="AQ78" s="44">
        <f t="shared" si="75"/>
        <v>8849.9697597824052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5</v>
      </c>
      <c r="G79" s="35">
        <f>SUMIFS(WORKING!$AC$3:$AC$6802,WORKING!$A$3:$A$6802,Results!$D$3,WORKING!$B$3:$B$6802,Results!A79,WORKING!$C$3:$C$6802,Results!C79)/1000</f>
        <v>10555.734700000001</v>
      </c>
      <c r="H79" s="35">
        <f t="shared" si="60"/>
        <v>2111.1469400000001</v>
      </c>
      <c r="I79" s="187">
        <v>6</v>
      </c>
      <c r="J79" s="212">
        <v>11196</v>
      </c>
      <c r="K79" s="217">
        <f t="shared" si="61"/>
        <v>1866</v>
      </c>
      <c r="L79" s="34">
        <f t="shared" si="54"/>
        <v>6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1956.4469538690764</v>
      </c>
      <c r="N79" s="57">
        <v>0</v>
      </c>
      <c r="O79" s="57">
        <v>0</v>
      </c>
      <c r="P79" s="61">
        <f t="shared" si="55"/>
        <v>6</v>
      </c>
      <c r="Q79" s="40">
        <f t="shared" si="62"/>
        <v>0</v>
      </c>
      <c r="R79" s="40">
        <f t="shared" si="63"/>
        <v>0</v>
      </c>
      <c r="S79" s="44">
        <f t="shared" si="64"/>
        <v>11738.681723214459</v>
      </c>
      <c r="T79" s="35">
        <f t="shared" si="65"/>
        <v>6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2104.8931686820474</v>
      </c>
      <c r="V79" s="57">
        <v>0</v>
      </c>
      <c r="W79" s="57">
        <v>0</v>
      </c>
      <c r="X79" s="61">
        <f t="shared" si="56"/>
        <v>6</v>
      </c>
      <c r="Y79" s="40">
        <f t="shared" si="66"/>
        <v>0</v>
      </c>
      <c r="Z79" s="40">
        <f t="shared" si="67"/>
        <v>0</v>
      </c>
      <c r="AA79" s="44">
        <f t="shared" si="68"/>
        <v>12629.359012092285</v>
      </c>
      <c r="AB79" s="35">
        <f t="shared" si="69"/>
        <v>6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2262.4663831736002</v>
      </c>
      <c r="AD79" s="57">
        <v>0</v>
      </c>
      <c r="AE79" s="57">
        <v>1</v>
      </c>
      <c r="AF79" s="61">
        <f t="shared" si="57"/>
        <v>5</v>
      </c>
      <c r="AG79" s="40">
        <f t="shared" si="70"/>
        <v>0</v>
      </c>
      <c r="AH79" s="40">
        <f t="shared" si="71"/>
        <v>-2262.4663831736002</v>
      </c>
      <c r="AI79" s="44">
        <f t="shared" si="72"/>
        <v>11312.331915868001</v>
      </c>
      <c r="AJ79" s="35">
        <f t="shared" si="58"/>
        <v>5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2427.2428949779851</v>
      </c>
      <c r="AL79" s="57">
        <v>0</v>
      </c>
      <c r="AM79" s="57">
        <v>0</v>
      </c>
      <c r="AN79" s="61">
        <f t="shared" si="59"/>
        <v>5</v>
      </c>
      <c r="AO79" s="40">
        <f t="shared" si="73"/>
        <v>0</v>
      </c>
      <c r="AP79" s="40">
        <f t="shared" si="74"/>
        <v>0</v>
      </c>
      <c r="AQ79" s="44">
        <f t="shared" si="75"/>
        <v>12136.214474889926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461</v>
      </c>
      <c r="G84" s="41">
        <f>SUM(G64:G83)</f>
        <v>185419.08244999999</v>
      </c>
      <c r="H84" s="41">
        <f>IFERROR(G84/F84,0)</f>
        <v>402.21059099783076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460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198734.33016999997</v>
      </c>
      <c r="K84" s="41">
        <f>IFERROR(J84/I84,"")</f>
        <v>432.03115254347819</v>
      </c>
      <c r="L84" s="41">
        <f>SUM(L64:L83)</f>
        <v>460</v>
      </c>
      <c r="M84" s="41">
        <f>IFERROR(S84/P84,0)</f>
        <v>459.84309470245591</v>
      </c>
      <c r="N84" s="41">
        <f t="shared" ref="N84:T84" si="98">SUM(N64:N83)</f>
        <v>21</v>
      </c>
      <c r="O84" s="41">
        <f t="shared" si="98"/>
        <v>42</v>
      </c>
      <c r="P84" s="41">
        <f t="shared" si="98"/>
        <v>439</v>
      </c>
      <c r="Q84" s="41">
        <f t="shared" si="98"/>
        <v>4862.1048073455586</v>
      </c>
      <c r="R84" s="41">
        <f t="shared" si="98"/>
        <v>-16845.295116248344</v>
      </c>
      <c r="S84" s="45">
        <f t="shared" si="98"/>
        <v>201871.11857437814</v>
      </c>
      <c r="T84" s="41">
        <f t="shared" si="98"/>
        <v>439</v>
      </c>
      <c r="U84" s="41">
        <f>IFERROR(AA84/X84,0)</f>
        <v>507.27625245467738</v>
      </c>
      <c r="V84" s="41">
        <f t="shared" ref="V84:AB84" si="99">SUM(V64:V83)</f>
        <v>0</v>
      </c>
      <c r="W84" s="41">
        <f t="shared" si="99"/>
        <v>10</v>
      </c>
      <c r="X84" s="41">
        <f t="shared" si="99"/>
        <v>429</v>
      </c>
      <c r="Y84" s="41">
        <f t="shared" si="99"/>
        <v>0</v>
      </c>
      <c r="Z84" s="41">
        <f t="shared" si="99"/>
        <v>-842.14416968336286</v>
      </c>
      <c r="AA84" s="45">
        <f t="shared" si="99"/>
        <v>217621.5123030566</v>
      </c>
      <c r="AB84" s="41">
        <f t="shared" si="99"/>
        <v>429</v>
      </c>
      <c r="AC84" s="41">
        <f>IFERROR(AI84/AF84,0)</f>
        <v>568.26594873306135</v>
      </c>
      <c r="AD84" s="41">
        <f t="shared" ref="AD84:AJ84" si="100">SUM(AD64:AD83)</f>
        <v>5</v>
      </c>
      <c r="AE84" s="41">
        <f t="shared" si="100"/>
        <v>65</v>
      </c>
      <c r="AF84" s="41">
        <f t="shared" si="100"/>
        <v>369</v>
      </c>
      <c r="AG84" s="41">
        <f t="shared" si="100"/>
        <v>4874.6286522600767</v>
      </c>
      <c r="AH84" s="41">
        <f t="shared" si="100"/>
        <v>-30473.327737607495</v>
      </c>
      <c r="AI84" s="45">
        <f t="shared" si="100"/>
        <v>209690.13508249962</v>
      </c>
      <c r="AJ84" s="41">
        <f t="shared" si="100"/>
        <v>369</v>
      </c>
      <c r="AK84" s="41">
        <f>IFERROR(AQ84/AN84,0)</f>
        <v>614.51739359304202</v>
      </c>
      <c r="AL84" s="41">
        <f t="shared" ref="AL84:AQ84" si="101">SUM(AL64:AL83)</f>
        <v>0</v>
      </c>
      <c r="AM84" s="41">
        <f t="shared" si="101"/>
        <v>2</v>
      </c>
      <c r="AN84" s="41">
        <f t="shared" si="101"/>
        <v>367</v>
      </c>
      <c r="AO84" s="41">
        <f t="shared" si="101"/>
        <v>0</v>
      </c>
      <c r="AP84" s="41">
        <f t="shared" si="101"/>
        <v>-793.225139245793</v>
      </c>
      <c r="AQ84" s="45">
        <f t="shared" si="101"/>
        <v>225527.88344864643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216458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233145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228846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246238.296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14586.881425621861</v>
      </c>
      <c r="T86" s="39"/>
      <c r="U86" s="39"/>
      <c r="V86" s="53"/>
      <c r="W86" s="53"/>
      <c r="X86" s="110"/>
      <c r="Y86" s="39"/>
      <c r="Z86" s="39"/>
      <c r="AA86" s="54">
        <f>AA85-AA84</f>
        <v>15523.487696943397</v>
      </c>
      <c r="AB86" s="39"/>
      <c r="AC86" s="53"/>
      <c r="AD86" s="53"/>
      <c r="AE86" s="110"/>
      <c r="AF86" s="39"/>
      <c r="AG86" s="39"/>
      <c r="AH86" s="39"/>
      <c r="AI86" s="54">
        <f>AI85-AI84</f>
        <v>19155.864917500381</v>
      </c>
      <c r="AJ86" s="53"/>
      <c r="AK86" s="53"/>
      <c r="AL86" s="110"/>
      <c r="AM86" s="110"/>
      <c r="AN86" s="110"/>
      <c r="AO86" s="110"/>
      <c r="AP86" s="111"/>
      <c r="AQ86" s="54">
        <f>AQ85-AQ84</f>
        <v>20710.412551353569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Human Settlements Policy, Strategy and Planning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>
        <v>0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>
        <v>0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>
        <v>0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>
        <v>0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5</v>
      </c>
      <c r="G96" s="35">
        <f>SUMIFS(WORKING!$AC$3:$AC$6802,WORKING!$A$3:$A$6802,Results!$D$3,WORKING!$B$3:$B$6802,Results!A96,WORKING!$C$3:$C$6802,Results!C96)/1000</f>
        <v>1011.5502100000001</v>
      </c>
      <c r="H96" s="35">
        <f t="shared" si="108"/>
        <v>202.31004200000001</v>
      </c>
      <c r="I96" s="187">
        <v>5</v>
      </c>
      <c r="J96" s="212">
        <v>1225</v>
      </c>
      <c r="K96" s="217">
        <f t="shared" si="109"/>
        <v>245</v>
      </c>
      <c r="L96" s="34">
        <f t="shared" si="102"/>
        <v>5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266.00386644768963</v>
      </c>
      <c r="N96" s="57">
        <v>0</v>
      </c>
      <c r="O96" s="57">
        <v>0</v>
      </c>
      <c r="P96" s="61">
        <f t="shared" si="103"/>
        <v>5</v>
      </c>
      <c r="Q96" s="40">
        <f t="shared" si="110"/>
        <v>0</v>
      </c>
      <c r="R96" s="40">
        <f t="shared" si="111"/>
        <v>0</v>
      </c>
      <c r="S96" s="44">
        <f t="shared" si="112"/>
        <v>1330.0193322384482</v>
      </c>
      <c r="T96" s="35">
        <f t="shared" si="113"/>
        <v>5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288.40494762549145</v>
      </c>
      <c r="V96" s="57">
        <v>0</v>
      </c>
      <c r="W96" s="57">
        <v>0</v>
      </c>
      <c r="X96" s="61">
        <f t="shared" si="104"/>
        <v>5</v>
      </c>
      <c r="Y96" s="40">
        <f t="shared" si="114"/>
        <v>0</v>
      </c>
      <c r="Z96" s="40">
        <f t="shared" si="115"/>
        <v>0</v>
      </c>
      <c r="AA96" s="44">
        <f t="shared" si="116"/>
        <v>1442.0247381274571</v>
      </c>
      <c r="AB96" s="35">
        <f t="shared" si="117"/>
        <v>5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312.40048207129473</v>
      </c>
      <c r="AD96" s="57">
        <v>0</v>
      </c>
      <c r="AE96" s="57">
        <v>0</v>
      </c>
      <c r="AF96" s="61">
        <f t="shared" si="105"/>
        <v>5</v>
      </c>
      <c r="AG96" s="40">
        <f t="shared" si="118"/>
        <v>0</v>
      </c>
      <c r="AH96" s="40">
        <f t="shared" si="119"/>
        <v>0</v>
      </c>
      <c r="AI96" s="44">
        <f t="shared" si="120"/>
        <v>1562.0024103564738</v>
      </c>
      <c r="AJ96" s="35">
        <f t="shared" si="106"/>
        <v>5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337.75983863468178</v>
      </c>
      <c r="AL96" s="57">
        <v>0</v>
      </c>
      <c r="AM96" s="57">
        <v>0</v>
      </c>
      <c r="AN96" s="61">
        <f t="shared" si="107"/>
        <v>5</v>
      </c>
      <c r="AO96" s="40">
        <f t="shared" si="121"/>
        <v>0</v>
      </c>
      <c r="AP96" s="40">
        <f t="shared" si="122"/>
        <v>0</v>
      </c>
      <c r="AQ96" s="44">
        <f t="shared" si="123"/>
        <v>1688.7991931734089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0</v>
      </c>
      <c r="G97" s="35">
        <f>SUMIFS(WORKING!$AC$3:$AC$6802,WORKING!$A$3:$A$6802,Results!$D$3,WORKING!$B$3:$B$6802,Results!A97,WORKING!$C$3:$C$6802,Results!C97)/1000</f>
        <v>14.13283</v>
      </c>
      <c r="H97" s="35">
        <f t="shared" si="108"/>
        <v>0</v>
      </c>
      <c r="I97" s="187">
        <v>0</v>
      </c>
      <c r="J97" s="212" t="s">
        <v>754</v>
      </c>
      <c r="K97" s="217" t="str">
        <f t="shared" si="109"/>
        <v/>
      </c>
      <c r="L97" s="34">
        <f t="shared" si="102"/>
        <v>0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0</v>
      </c>
      <c r="N97" s="57">
        <v>0</v>
      </c>
      <c r="O97" s="57">
        <v>0</v>
      </c>
      <c r="P97" s="61">
        <f t="shared" si="103"/>
        <v>0</v>
      </c>
      <c r="Q97" s="40">
        <f t="shared" si="110"/>
        <v>0</v>
      </c>
      <c r="R97" s="40">
        <f t="shared" si="111"/>
        <v>0</v>
      </c>
      <c r="S97" s="44">
        <f t="shared" si="112"/>
        <v>0</v>
      </c>
      <c r="T97" s="35">
        <f t="shared" si="113"/>
        <v>0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0</v>
      </c>
      <c r="V97" s="57">
        <v>0</v>
      </c>
      <c r="W97" s="57">
        <v>0</v>
      </c>
      <c r="X97" s="61">
        <f t="shared" si="104"/>
        <v>0</v>
      </c>
      <c r="Y97" s="40">
        <f t="shared" si="114"/>
        <v>0</v>
      </c>
      <c r="Z97" s="40">
        <f t="shared" si="115"/>
        <v>0</v>
      </c>
      <c r="AA97" s="44">
        <f t="shared" si="116"/>
        <v>0</v>
      </c>
      <c r="AB97" s="35">
        <f t="shared" si="117"/>
        <v>0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0</v>
      </c>
      <c r="AD97" s="57">
        <v>0</v>
      </c>
      <c r="AE97" s="57">
        <v>0</v>
      </c>
      <c r="AF97" s="61">
        <f t="shared" si="105"/>
        <v>0</v>
      </c>
      <c r="AG97" s="40">
        <f t="shared" si="118"/>
        <v>0</v>
      </c>
      <c r="AH97" s="40">
        <f t="shared" si="119"/>
        <v>0</v>
      </c>
      <c r="AI97" s="44">
        <f t="shared" si="120"/>
        <v>0</v>
      </c>
      <c r="AJ97" s="35">
        <f t="shared" si="106"/>
        <v>0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0</v>
      </c>
      <c r="AL97" s="57">
        <v>0</v>
      </c>
      <c r="AM97" s="57">
        <v>0</v>
      </c>
      <c r="AN97" s="61">
        <f t="shared" si="107"/>
        <v>0</v>
      </c>
      <c r="AO97" s="40">
        <f t="shared" si="121"/>
        <v>0</v>
      </c>
      <c r="AP97" s="40">
        <f t="shared" si="122"/>
        <v>0</v>
      </c>
      <c r="AQ97" s="44">
        <f t="shared" si="123"/>
        <v>0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12</v>
      </c>
      <c r="G98" s="35">
        <f>SUMIFS(WORKING!$AC$3:$AC$6802,WORKING!$A$3:$A$6802,Results!$D$3,WORKING!$B$3:$B$6802,Results!A98,WORKING!$C$3:$C$6802,Results!C98)/1000</f>
        <v>3331.4518200000002</v>
      </c>
      <c r="H98" s="35">
        <f t="shared" si="108"/>
        <v>277.62098500000002</v>
      </c>
      <c r="I98" s="187">
        <v>14</v>
      </c>
      <c r="J98" s="212">
        <v>4396</v>
      </c>
      <c r="K98" s="217">
        <f t="shared" si="109"/>
        <v>314</v>
      </c>
      <c r="L98" s="34">
        <f t="shared" si="102"/>
        <v>14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341.55073596842499</v>
      </c>
      <c r="N98" s="57">
        <v>0</v>
      </c>
      <c r="O98" s="57">
        <v>0</v>
      </c>
      <c r="P98" s="61">
        <f t="shared" si="103"/>
        <v>14</v>
      </c>
      <c r="Q98" s="40">
        <f t="shared" si="110"/>
        <v>0</v>
      </c>
      <c r="R98" s="40">
        <f t="shared" si="111"/>
        <v>0</v>
      </c>
      <c r="S98" s="44">
        <f t="shared" si="112"/>
        <v>4781.7103035579494</v>
      </c>
      <c r="T98" s="35">
        <f t="shared" si="113"/>
        <v>14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370.51185201294618</v>
      </c>
      <c r="V98" s="57">
        <v>0</v>
      </c>
      <c r="W98" s="57">
        <v>0</v>
      </c>
      <c r="X98" s="61">
        <f t="shared" si="104"/>
        <v>14</v>
      </c>
      <c r="Y98" s="40">
        <f t="shared" si="114"/>
        <v>0</v>
      </c>
      <c r="Z98" s="40">
        <f t="shared" si="115"/>
        <v>0</v>
      </c>
      <c r="AA98" s="44">
        <f t="shared" si="116"/>
        <v>5187.1659281812463</v>
      </c>
      <c r="AB98" s="35">
        <f t="shared" si="117"/>
        <v>14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401.55318728114111</v>
      </c>
      <c r="AD98" s="57">
        <v>1</v>
      </c>
      <c r="AE98" s="57">
        <v>0</v>
      </c>
      <c r="AF98" s="61">
        <f t="shared" si="105"/>
        <v>15</v>
      </c>
      <c r="AG98" s="40">
        <f t="shared" si="118"/>
        <v>401.55318728114111</v>
      </c>
      <c r="AH98" s="40">
        <f t="shared" si="119"/>
        <v>0</v>
      </c>
      <c r="AI98" s="44">
        <f t="shared" si="120"/>
        <v>6023.297809217117</v>
      </c>
      <c r="AJ98" s="35">
        <f t="shared" si="106"/>
        <v>15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434.38127579616082</v>
      </c>
      <c r="AL98" s="57">
        <v>0</v>
      </c>
      <c r="AM98" s="57">
        <v>0</v>
      </c>
      <c r="AN98" s="61">
        <f t="shared" si="107"/>
        <v>15</v>
      </c>
      <c r="AO98" s="40">
        <f t="shared" si="121"/>
        <v>0</v>
      </c>
      <c r="AP98" s="40">
        <f t="shared" si="122"/>
        <v>0</v>
      </c>
      <c r="AQ98" s="44">
        <f t="shared" si="123"/>
        <v>6515.7191369424127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2</v>
      </c>
      <c r="G99" s="35">
        <f>SUMIFS(WORKING!$AC$3:$AC$6802,WORKING!$A$3:$A$6802,Results!$D$3,WORKING!$B$3:$B$6802,Results!A99,WORKING!$C$3:$C$6802,Results!C99)/1000</f>
        <v>1098.9373999999998</v>
      </c>
      <c r="H99" s="35">
        <f t="shared" si="108"/>
        <v>549.4686999999999</v>
      </c>
      <c r="I99" s="187">
        <v>1</v>
      </c>
      <c r="J99" s="212">
        <v>380</v>
      </c>
      <c r="K99" s="217">
        <f t="shared" si="109"/>
        <v>380</v>
      </c>
      <c r="L99" s="34">
        <f t="shared" si="102"/>
        <v>1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413.85382812209468</v>
      </c>
      <c r="N99" s="57">
        <v>0</v>
      </c>
      <c r="O99" s="57">
        <v>0</v>
      </c>
      <c r="P99" s="61">
        <f t="shared" si="103"/>
        <v>1</v>
      </c>
      <c r="Q99" s="40">
        <f t="shared" si="110"/>
        <v>0</v>
      </c>
      <c r="R99" s="40">
        <f t="shared" si="111"/>
        <v>0</v>
      </c>
      <c r="S99" s="44">
        <f t="shared" si="112"/>
        <v>413.85382812209468</v>
      </c>
      <c r="T99" s="35">
        <f t="shared" si="113"/>
        <v>1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449.10574686027513</v>
      </c>
      <c r="V99" s="57">
        <v>0</v>
      </c>
      <c r="W99" s="57">
        <v>0</v>
      </c>
      <c r="X99" s="61">
        <f t="shared" si="104"/>
        <v>1</v>
      </c>
      <c r="Y99" s="40">
        <f t="shared" si="114"/>
        <v>0</v>
      </c>
      <c r="Z99" s="40">
        <f t="shared" si="115"/>
        <v>0</v>
      </c>
      <c r="AA99" s="44">
        <f t="shared" si="116"/>
        <v>449.10574686027513</v>
      </c>
      <c r="AB99" s="35">
        <f t="shared" si="117"/>
        <v>1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486.90503093802153</v>
      </c>
      <c r="AD99" s="57">
        <v>1</v>
      </c>
      <c r="AE99" s="57">
        <v>0</v>
      </c>
      <c r="AF99" s="61">
        <f t="shared" si="105"/>
        <v>2</v>
      </c>
      <c r="AG99" s="40">
        <f t="shared" si="118"/>
        <v>486.90503093802153</v>
      </c>
      <c r="AH99" s="40">
        <f t="shared" si="119"/>
        <v>0</v>
      </c>
      <c r="AI99" s="44">
        <f t="shared" si="120"/>
        <v>973.81006187604305</v>
      </c>
      <c r="AJ99" s="35">
        <f t="shared" si="106"/>
        <v>2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526.89830156086293</v>
      </c>
      <c r="AL99" s="57">
        <v>0</v>
      </c>
      <c r="AM99" s="57">
        <v>0</v>
      </c>
      <c r="AN99" s="61">
        <f t="shared" si="107"/>
        <v>2</v>
      </c>
      <c r="AO99" s="40">
        <f t="shared" si="121"/>
        <v>0</v>
      </c>
      <c r="AP99" s="40">
        <f t="shared" si="122"/>
        <v>0</v>
      </c>
      <c r="AQ99" s="44">
        <f t="shared" si="123"/>
        <v>1053.7966031217259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11</v>
      </c>
      <c r="G100" s="35">
        <f>SUMIFS(WORKING!$AC$3:$AC$6802,WORKING!$A$3:$A$6802,Results!$D$3,WORKING!$B$3:$B$6802,Results!A100,WORKING!$C$3:$C$6802,Results!C100)/1000</f>
        <v>4771.3300299999992</v>
      </c>
      <c r="H100" s="35">
        <f t="shared" si="108"/>
        <v>433.75727545454538</v>
      </c>
      <c r="I100" s="187">
        <v>11</v>
      </c>
      <c r="J100" s="212">
        <v>4796</v>
      </c>
      <c r="K100" s="217">
        <f t="shared" si="109"/>
        <v>436</v>
      </c>
      <c r="L100" s="34">
        <f t="shared" si="102"/>
        <v>11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475.16066034674935</v>
      </c>
      <c r="N100" s="57">
        <v>0</v>
      </c>
      <c r="O100" s="57">
        <v>0</v>
      </c>
      <c r="P100" s="61">
        <f t="shared" si="103"/>
        <v>11</v>
      </c>
      <c r="Q100" s="40">
        <f t="shared" si="110"/>
        <v>0</v>
      </c>
      <c r="R100" s="40">
        <f t="shared" si="111"/>
        <v>0</v>
      </c>
      <c r="S100" s="44">
        <f t="shared" si="112"/>
        <v>5226.7672638142431</v>
      </c>
      <c r="T100" s="35">
        <f t="shared" si="113"/>
        <v>11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515.73277740771721</v>
      </c>
      <c r="V100" s="57">
        <v>0</v>
      </c>
      <c r="W100" s="57">
        <v>0</v>
      </c>
      <c r="X100" s="61">
        <f t="shared" si="104"/>
        <v>11</v>
      </c>
      <c r="Y100" s="40">
        <f t="shared" si="114"/>
        <v>0</v>
      </c>
      <c r="Z100" s="40">
        <f t="shared" si="115"/>
        <v>0</v>
      </c>
      <c r="AA100" s="44">
        <f t="shared" si="116"/>
        <v>5673.0605514848894</v>
      </c>
      <c r="AB100" s="35">
        <f t="shared" si="117"/>
        <v>11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559.24615876395058</v>
      </c>
      <c r="AD100" s="57">
        <v>1</v>
      </c>
      <c r="AE100" s="57">
        <v>0</v>
      </c>
      <c r="AF100" s="61">
        <f t="shared" si="105"/>
        <v>12</v>
      </c>
      <c r="AG100" s="40">
        <f t="shared" si="118"/>
        <v>559.24615876395058</v>
      </c>
      <c r="AH100" s="40">
        <f t="shared" si="119"/>
        <v>0</v>
      </c>
      <c r="AI100" s="44">
        <f t="shared" si="120"/>
        <v>6710.9539051674074</v>
      </c>
      <c r="AJ100" s="35">
        <f t="shared" si="106"/>
        <v>12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605.296529486331</v>
      </c>
      <c r="AL100" s="57">
        <v>0</v>
      </c>
      <c r="AM100" s="57">
        <v>0</v>
      </c>
      <c r="AN100" s="61">
        <f t="shared" si="107"/>
        <v>12</v>
      </c>
      <c r="AO100" s="40">
        <f t="shared" si="121"/>
        <v>0</v>
      </c>
      <c r="AP100" s="40">
        <f t="shared" si="122"/>
        <v>0</v>
      </c>
      <c r="AQ100" s="44">
        <f t="shared" si="123"/>
        <v>7263.5583538359715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4</v>
      </c>
      <c r="G101" s="35">
        <f>SUMIFS(WORKING!$AC$3:$AC$6802,WORKING!$A$3:$A$6802,Results!$D$3,WORKING!$B$3:$B$6802,Results!A101,WORKING!$C$3:$C$6802,Results!C101)/1000</f>
        <v>2070.3209999999999</v>
      </c>
      <c r="H101" s="35">
        <f t="shared" si="108"/>
        <v>517.58024999999998</v>
      </c>
      <c r="I101" s="187">
        <v>1</v>
      </c>
      <c r="J101" s="212">
        <v>518</v>
      </c>
      <c r="K101" s="217">
        <f t="shared" si="109"/>
        <v>518</v>
      </c>
      <c r="L101" s="34">
        <f t="shared" si="102"/>
        <v>1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564.49331353620482</v>
      </c>
      <c r="N101" s="57">
        <v>0</v>
      </c>
      <c r="O101" s="57">
        <v>0</v>
      </c>
      <c r="P101" s="61">
        <f t="shared" si="103"/>
        <v>1</v>
      </c>
      <c r="Q101" s="40">
        <f t="shared" si="110"/>
        <v>0</v>
      </c>
      <c r="R101" s="40">
        <f t="shared" si="111"/>
        <v>0</v>
      </c>
      <c r="S101" s="44">
        <f t="shared" si="112"/>
        <v>564.49331353620482</v>
      </c>
      <c r="T101" s="35">
        <f t="shared" si="113"/>
        <v>1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612.68265686119321</v>
      </c>
      <c r="V101" s="57">
        <v>0</v>
      </c>
      <c r="W101" s="57">
        <v>0</v>
      </c>
      <c r="X101" s="61">
        <f t="shared" si="104"/>
        <v>1</v>
      </c>
      <c r="Y101" s="40">
        <f t="shared" si="114"/>
        <v>0</v>
      </c>
      <c r="Z101" s="40">
        <f t="shared" si="115"/>
        <v>0</v>
      </c>
      <c r="AA101" s="44">
        <f t="shared" si="116"/>
        <v>612.68265686119321</v>
      </c>
      <c r="AB101" s="35">
        <f t="shared" si="117"/>
        <v>1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664.36450089074606</v>
      </c>
      <c r="AD101" s="57">
        <v>0</v>
      </c>
      <c r="AE101" s="57">
        <v>0</v>
      </c>
      <c r="AF101" s="61">
        <f t="shared" si="105"/>
        <v>1</v>
      </c>
      <c r="AG101" s="40">
        <f t="shared" si="118"/>
        <v>0</v>
      </c>
      <c r="AH101" s="40">
        <f t="shared" si="119"/>
        <v>0</v>
      </c>
      <c r="AI101" s="44">
        <f t="shared" si="120"/>
        <v>664.36450089074606</v>
      </c>
      <c r="AJ101" s="35">
        <f t="shared" si="106"/>
        <v>1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719.0584655973289</v>
      </c>
      <c r="AL101" s="57">
        <v>0</v>
      </c>
      <c r="AM101" s="57">
        <v>0</v>
      </c>
      <c r="AN101" s="61">
        <f t="shared" si="107"/>
        <v>1</v>
      </c>
      <c r="AO101" s="40">
        <f t="shared" si="121"/>
        <v>0</v>
      </c>
      <c r="AP101" s="40">
        <f t="shared" si="122"/>
        <v>0</v>
      </c>
      <c r="AQ101" s="44">
        <f t="shared" si="123"/>
        <v>719.0584655973289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15</v>
      </c>
      <c r="G102" s="35">
        <f>SUMIFS(WORKING!$AC$3:$AC$6802,WORKING!$A$3:$A$6802,Results!$D$3,WORKING!$B$3:$B$6802,Results!A102,WORKING!$C$3:$C$6802,Results!C102)/1000</f>
        <v>9332.0006200000025</v>
      </c>
      <c r="H102" s="35">
        <f t="shared" si="108"/>
        <v>622.13337466666678</v>
      </c>
      <c r="I102" s="187">
        <v>17</v>
      </c>
      <c r="J102" s="212">
        <v>10285</v>
      </c>
      <c r="K102" s="217">
        <f t="shared" si="109"/>
        <v>605</v>
      </c>
      <c r="L102" s="34">
        <f t="shared" si="102"/>
        <v>17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660.50413259969685</v>
      </c>
      <c r="N102" s="57">
        <v>0</v>
      </c>
      <c r="O102" s="57">
        <v>0</v>
      </c>
      <c r="P102" s="61">
        <f t="shared" si="103"/>
        <v>17</v>
      </c>
      <c r="Q102" s="40">
        <f t="shared" si="110"/>
        <v>0</v>
      </c>
      <c r="R102" s="40">
        <f t="shared" si="111"/>
        <v>0</v>
      </c>
      <c r="S102" s="44">
        <f t="shared" si="112"/>
        <v>11228.570254194847</v>
      </c>
      <c r="T102" s="35">
        <f t="shared" si="113"/>
        <v>17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717.07934010870906</v>
      </c>
      <c r="V102" s="57">
        <v>0</v>
      </c>
      <c r="W102" s="57">
        <v>0</v>
      </c>
      <c r="X102" s="61">
        <f t="shared" si="104"/>
        <v>17</v>
      </c>
      <c r="Y102" s="40">
        <f t="shared" si="114"/>
        <v>0</v>
      </c>
      <c r="Z102" s="40">
        <f t="shared" si="115"/>
        <v>0</v>
      </c>
      <c r="AA102" s="44">
        <f t="shared" si="116"/>
        <v>12190.348781848053</v>
      </c>
      <c r="AB102" s="35">
        <f t="shared" si="117"/>
        <v>17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777.77290301419214</v>
      </c>
      <c r="AD102" s="57">
        <v>2</v>
      </c>
      <c r="AE102" s="57">
        <v>0</v>
      </c>
      <c r="AF102" s="61">
        <f t="shared" si="105"/>
        <v>19</v>
      </c>
      <c r="AG102" s="40">
        <f t="shared" si="118"/>
        <v>1555.5458060283843</v>
      </c>
      <c r="AH102" s="40">
        <f t="shared" si="119"/>
        <v>0</v>
      </c>
      <c r="AI102" s="44">
        <f t="shared" si="120"/>
        <v>14777.685157269651</v>
      </c>
      <c r="AJ102" s="35">
        <f t="shared" si="106"/>
        <v>19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842.02526219160029</v>
      </c>
      <c r="AL102" s="57">
        <v>0</v>
      </c>
      <c r="AM102" s="57">
        <v>0</v>
      </c>
      <c r="AN102" s="61">
        <f t="shared" si="107"/>
        <v>19</v>
      </c>
      <c r="AO102" s="40">
        <f t="shared" si="121"/>
        <v>0</v>
      </c>
      <c r="AP102" s="40">
        <f t="shared" si="122"/>
        <v>0</v>
      </c>
      <c r="AQ102" s="44">
        <f t="shared" si="123"/>
        <v>15998.479981640405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4</v>
      </c>
      <c r="G103" s="35">
        <f>SUMIFS(WORKING!$AC$3:$AC$6802,WORKING!$A$3:$A$6802,Results!$D$3,WORKING!$B$3:$B$6802,Results!A103,WORKING!$C$3:$C$6802,Results!C103)/1000</f>
        <v>3168.5989099999993</v>
      </c>
      <c r="H103" s="35">
        <f t="shared" si="108"/>
        <v>792.14972749999981</v>
      </c>
      <c r="I103" s="187">
        <v>12</v>
      </c>
      <c r="J103" s="212">
        <v>8784</v>
      </c>
      <c r="K103" s="217">
        <f t="shared" si="109"/>
        <v>732</v>
      </c>
      <c r="L103" s="34">
        <f t="shared" si="102"/>
        <v>12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799.11106945964764</v>
      </c>
      <c r="N103" s="57">
        <v>0</v>
      </c>
      <c r="O103" s="57">
        <v>0</v>
      </c>
      <c r="P103" s="61">
        <f t="shared" si="103"/>
        <v>12</v>
      </c>
      <c r="Q103" s="40">
        <f t="shared" si="110"/>
        <v>0</v>
      </c>
      <c r="R103" s="40">
        <f t="shared" si="111"/>
        <v>0</v>
      </c>
      <c r="S103" s="44">
        <f t="shared" si="112"/>
        <v>9589.3328335157712</v>
      </c>
      <c r="T103" s="35">
        <f t="shared" si="113"/>
        <v>12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867.51045720113927</v>
      </c>
      <c r="V103" s="57">
        <v>0</v>
      </c>
      <c r="W103" s="57">
        <v>0</v>
      </c>
      <c r="X103" s="61">
        <f t="shared" si="104"/>
        <v>12</v>
      </c>
      <c r="Y103" s="40">
        <f t="shared" si="114"/>
        <v>0</v>
      </c>
      <c r="Z103" s="40">
        <f t="shared" si="115"/>
        <v>0</v>
      </c>
      <c r="AA103" s="44">
        <f t="shared" si="116"/>
        <v>10410.125486413672</v>
      </c>
      <c r="AB103" s="35">
        <f t="shared" si="117"/>
        <v>12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940.88429197608639</v>
      </c>
      <c r="AD103" s="57">
        <v>1</v>
      </c>
      <c r="AE103" s="57">
        <v>0</v>
      </c>
      <c r="AF103" s="61">
        <f t="shared" si="105"/>
        <v>13</v>
      </c>
      <c r="AG103" s="40">
        <f t="shared" si="118"/>
        <v>940.88429197608639</v>
      </c>
      <c r="AH103" s="40">
        <f t="shared" si="119"/>
        <v>0</v>
      </c>
      <c r="AI103" s="44">
        <f t="shared" si="120"/>
        <v>12231.495795689123</v>
      </c>
      <c r="AJ103" s="35">
        <f t="shared" si="106"/>
        <v>13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1018.554875038486</v>
      </c>
      <c r="AL103" s="57">
        <v>0</v>
      </c>
      <c r="AM103" s="57">
        <v>0</v>
      </c>
      <c r="AN103" s="61">
        <f t="shared" si="107"/>
        <v>13</v>
      </c>
      <c r="AO103" s="40">
        <f t="shared" si="121"/>
        <v>0</v>
      </c>
      <c r="AP103" s="40">
        <f t="shared" si="122"/>
        <v>0</v>
      </c>
      <c r="AQ103" s="44">
        <f t="shared" si="123"/>
        <v>13241.213375500318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8</v>
      </c>
      <c r="G104" s="35">
        <f>SUMIFS(WORKING!$AC$3:$AC$6802,WORKING!$A$3:$A$6802,Results!$D$3,WORKING!$B$3:$B$6802,Results!A104,WORKING!$C$3:$C$6802,Results!C104)/1000</f>
        <v>7391.5897999999988</v>
      </c>
      <c r="H104" s="35">
        <f t="shared" si="108"/>
        <v>923.94872499999985</v>
      </c>
      <c r="I104" s="187">
        <v>14</v>
      </c>
      <c r="J104" s="212">
        <v>13678</v>
      </c>
      <c r="K104" s="217">
        <f t="shared" si="109"/>
        <v>977</v>
      </c>
      <c r="L104" s="34">
        <f t="shared" si="102"/>
        <v>14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1023.7797229384028</v>
      </c>
      <c r="N104" s="57">
        <v>0</v>
      </c>
      <c r="O104" s="57">
        <v>0</v>
      </c>
      <c r="P104" s="61">
        <f t="shared" si="103"/>
        <v>14</v>
      </c>
      <c r="Q104" s="40">
        <f t="shared" si="110"/>
        <v>0</v>
      </c>
      <c r="R104" s="40">
        <f t="shared" si="111"/>
        <v>0</v>
      </c>
      <c r="S104" s="44">
        <f t="shared" si="112"/>
        <v>14332.916121137638</v>
      </c>
      <c r="T104" s="35">
        <f t="shared" si="113"/>
        <v>14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1100.8395580102501</v>
      </c>
      <c r="V104" s="57">
        <v>0</v>
      </c>
      <c r="W104" s="57">
        <v>0</v>
      </c>
      <c r="X104" s="61">
        <f t="shared" si="104"/>
        <v>14</v>
      </c>
      <c r="Y104" s="40">
        <f t="shared" si="114"/>
        <v>0</v>
      </c>
      <c r="Z104" s="40">
        <f t="shared" si="115"/>
        <v>0</v>
      </c>
      <c r="AA104" s="44">
        <f t="shared" si="116"/>
        <v>15411.753812143503</v>
      </c>
      <c r="AB104" s="35">
        <f t="shared" si="117"/>
        <v>14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1182.5829841867603</v>
      </c>
      <c r="AD104" s="57">
        <v>0</v>
      </c>
      <c r="AE104" s="57">
        <v>4</v>
      </c>
      <c r="AF104" s="61">
        <f t="shared" si="105"/>
        <v>10</v>
      </c>
      <c r="AG104" s="40">
        <f t="shared" si="118"/>
        <v>0</v>
      </c>
      <c r="AH104" s="40">
        <f t="shared" si="119"/>
        <v>-4730.3319367470413</v>
      </c>
      <c r="AI104" s="44">
        <f t="shared" si="120"/>
        <v>11825.829841867602</v>
      </c>
      <c r="AJ104" s="35">
        <f t="shared" si="106"/>
        <v>10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1267.997074293283</v>
      </c>
      <c r="AL104" s="57">
        <v>0</v>
      </c>
      <c r="AM104" s="57">
        <v>0</v>
      </c>
      <c r="AN104" s="61">
        <f t="shared" si="107"/>
        <v>10</v>
      </c>
      <c r="AO104" s="40">
        <f t="shared" si="121"/>
        <v>0</v>
      </c>
      <c r="AP104" s="40">
        <f t="shared" si="122"/>
        <v>0</v>
      </c>
      <c r="AQ104" s="44">
        <f t="shared" si="123"/>
        <v>12679.97074293283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3</v>
      </c>
      <c r="G105" s="35">
        <f>SUMIFS(WORKING!$AC$3:$AC$6802,WORKING!$A$3:$A$6802,Results!$D$3,WORKING!$B$3:$B$6802,Results!A105,WORKING!$C$3:$C$6802,Results!C105)/1000</f>
        <v>4302.9853400000002</v>
      </c>
      <c r="H105" s="35">
        <f t="shared" si="108"/>
        <v>1434.3284466666667</v>
      </c>
      <c r="I105" s="187">
        <v>5</v>
      </c>
      <c r="J105" s="212">
        <v>5485</v>
      </c>
      <c r="K105" s="217">
        <f t="shared" si="109"/>
        <v>1097</v>
      </c>
      <c r="L105" s="34">
        <f t="shared" si="102"/>
        <v>5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1149.8574778524151</v>
      </c>
      <c r="N105" s="57">
        <v>0</v>
      </c>
      <c r="O105" s="57">
        <v>0</v>
      </c>
      <c r="P105" s="61">
        <f t="shared" si="103"/>
        <v>5</v>
      </c>
      <c r="Q105" s="40">
        <f t="shared" si="110"/>
        <v>0</v>
      </c>
      <c r="R105" s="40">
        <f t="shared" si="111"/>
        <v>0</v>
      </c>
      <c r="S105" s="44">
        <f t="shared" si="112"/>
        <v>5749.2873892620755</v>
      </c>
      <c r="T105" s="35">
        <f t="shared" si="113"/>
        <v>5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1236.7643097169032</v>
      </c>
      <c r="V105" s="57">
        <v>0</v>
      </c>
      <c r="W105" s="57">
        <v>0</v>
      </c>
      <c r="X105" s="61">
        <f t="shared" si="104"/>
        <v>5</v>
      </c>
      <c r="Y105" s="40">
        <f t="shared" si="114"/>
        <v>0</v>
      </c>
      <c r="Z105" s="40">
        <f t="shared" si="115"/>
        <v>0</v>
      </c>
      <c r="AA105" s="44">
        <f t="shared" si="116"/>
        <v>6183.8215485845158</v>
      </c>
      <c r="AB105" s="35">
        <f t="shared" si="117"/>
        <v>5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1328.9846625366818</v>
      </c>
      <c r="AD105" s="57">
        <v>0</v>
      </c>
      <c r="AE105" s="57">
        <v>1</v>
      </c>
      <c r="AF105" s="61">
        <f t="shared" si="105"/>
        <v>4</v>
      </c>
      <c r="AG105" s="40">
        <f t="shared" si="118"/>
        <v>0</v>
      </c>
      <c r="AH105" s="40">
        <f t="shared" si="119"/>
        <v>-1328.9846625366818</v>
      </c>
      <c r="AI105" s="44">
        <f t="shared" si="120"/>
        <v>5315.938650146727</v>
      </c>
      <c r="AJ105" s="35">
        <f t="shared" si="106"/>
        <v>4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1425.3844644000519</v>
      </c>
      <c r="AL105" s="57">
        <v>0</v>
      </c>
      <c r="AM105" s="57">
        <v>0</v>
      </c>
      <c r="AN105" s="61">
        <f t="shared" si="107"/>
        <v>4</v>
      </c>
      <c r="AO105" s="40">
        <f t="shared" si="121"/>
        <v>0</v>
      </c>
      <c r="AP105" s="40">
        <f t="shared" si="122"/>
        <v>0</v>
      </c>
      <c r="AQ105" s="44">
        <f t="shared" si="123"/>
        <v>5701.5378576002076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1</v>
      </c>
      <c r="G106" s="35">
        <f>SUMIFS(WORKING!$AC$3:$AC$6802,WORKING!$A$3:$A$6802,Results!$D$3,WORKING!$B$3:$B$6802,Results!A106,WORKING!$C$3:$C$6802,Results!C106)/1000</f>
        <v>1299.57098</v>
      </c>
      <c r="H106" s="35">
        <f t="shared" si="108"/>
        <v>1299.57098</v>
      </c>
      <c r="I106" s="187">
        <v>3</v>
      </c>
      <c r="J106" s="212">
        <v>4551</v>
      </c>
      <c r="K106" s="217">
        <f t="shared" si="109"/>
        <v>1517</v>
      </c>
      <c r="L106" s="34">
        <f t="shared" si="102"/>
        <v>3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1590.2118136525389</v>
      </c>
      <c r="N106" s="57">
        <v>0</v>
      </c>
      <c r="O106" s="57">
        <v>0</v>
      </c>
      <c r="P106" s="61">
        <f t="shared" si="103"/>
        <v>3</v>
      </c>
      <c r="Q106" s="40">
        <f t="shared" si="110"/>
        <v>0</v>
      </c>
      <c r="R106" s="40">
        <f t="shared" si="111"/>
        <v>0</v>
      </c>
      <c r="S106" s="44">
        <f t="shared" si="112"/>
        <v>4770.635440957617</v>
      </c>
      <c r="T106" s="35">
        <f t="shared" si="113"/>
        <v>3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1710.5269220642356</v>
      </c>
      <c r="V106" s="57">
        <v>0</v>
      </c>
      <c r="W106" s="57">
        <v>0</v>
      </c>
      <c r="X106" s="61">
        <f t="shared" si="104"/>
        <v>3</v>
      </c>
      <c r="Y106" s="40">
        <f t="shared" si="114"/>
        <v>0</v>
      </c>
      <c r="Z106" s="40">
        <f t="shared" si="115"/>
        <v>0</v>
      </c>
      <c r="AA106" s="44">
        <f t="shared" si="116"/>
        <v>5131.5807661927065</v>
      </c>
      <c r="AB106" s="35">
        <f t="shared" si="117"/>
        <v>3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1838.209250348558</v>
      </c>
      <c r="AD106" s="57">
        <v>0</v>
      </c>
      <c r="AE106" s="57">
        <v>1</v>
      </c>
      <c r="AF106" s="61">
        <f t="shared" si="105"/>
        <v>2</v>
      </c>
      <c r="AG106" s="40">
        <f t="shared" si="118"/>
        <v>0</v>
      </c>
      <c r="AH106" s="40">
        <f t="shared" si="119"/>
        <v>-1838.209250348558</v>
      </c>
      <c r="AI106" s="44">
        <f t="shared" si="120"/>
        <v>3676.4185006971161</v>
      </c>
      <c r="AJ106" s="35">
        <f t="shared" si="106"/>
        <v>2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1971.6916977859985</v>
      </c>
      <c r="AL106" s="57">
        <v>0</v>
      </c>
      <c r="AM106" s="57">
        <v>0</v>
      </c>
      <c r="AN106" s="61">
        <f t="shared" si="107"/>
        <v>2</v>
      </c>
      <c r="AO106" s="40">
        <f t="shared" si="121"/>
        <v>0</v>
      </c>
      <c r="AP106" s="40">
        <f t="shared" si="122"/>
        <v>0</v>
      </c>
      <c r="AQ106" s="44">
        <f t="shared" si="123"/>
        <v>3943.383395571997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1</v>
      </c>
      <c r="G107" s="35">
        <f>SUMIFS(WORKING!$AC$3:$AC$6802,WORKING!$A$3:$A$6802,Results!$D$3,WORKING!$B$3:$B$6802,Results!A107,WORKING!$C$3:$C$6802,Results!C107)/1000</f>
        <v>1663.1288699999998</v>
      </c>
      <c r="H107" s="35">
        <f t="shared" si="108"/>
        <v>1663.1288699999998</v>
      </c>
      <c r="I107" s="187">
        <v>0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1743.7814915279996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1876.1336320043135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2016.626958802528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2163.5473071513484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66</v>
      </c>
      <c r="G112" s="41">
        <f>SUM(G92:G111)</f>
        <v>39455.597809999999</v>
      </c>
      <c r="H112" s="41">
        <f>IFERROR(G112/F112,0)</f>
        <v>597.81208803030302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83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55775.261700000003</v>
      </c>
      <c r="K112" s="41">
        <f>IFERROR(J112/I112,"")</f>
        <v>671.9911048192771</v>
      </c>
      <c r="L112" s="41">
        <f>SUM(L92:L111)</f>
        <v>83</v>
      </c>
      <c r="M112" s="41">
        <f>IFERROR(S112/P112,0)</f>
        <v>698.64561542574575</v>
      </c>
      <c r="N112" s="41">
        <f t="shared" ref="N112:T112" si="124">SUM(N92:N111)</f>
        <v>0</v>
      </c>
      <c r="O112" s="41">
        <f t="shared" si="124"/>
        <v>0</v>
      </c>
      <c r="P112" s="41">
        <f t="shared" si="124"/>
        <v>83</v>
      </c>
      <c r="Q112" s="41">
        <f t="shared" si="124"/>
        <v>0</v>
      </c>
      <c r="R112" s="41">
        <f t="shared" si="124"/>
        <v>0</v>
      </c>
      <c r="S112" s="45">
        <f t="shared" si="124"/>
        <v>57987.586080336892</v>
      </c>
      <c r="T112" s="41">
        <f t="shared" si="124"/>
        <v>83</v>
      </c>
      <c r="U112" s="41">
        <f>IFERROR(AA112/X112,0)</f>
        <v>755.32132550237975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83</v>
      </c>
      <c r="Y112" s="41">
        <f t="shared" si="125"/>
        <v>0</v>
      </c>
      <c r="Z112" s="41">
        <f t="shared" si="125"/>
        <v>0</v>
      </c>
      <c r="AA112" s="45">
        <f t="shared" si="125"/>
        <v>62691.670016697521</v>
      </c>
      <c r="AB112" s="41">
        <f t="shared" si="125"/>
        <v>83</v>
      </c>
      <c r="AC112" s="41">
        <f>IFERROR(AI112/AF112,0)</f>
        <v>768.21441726720479</v>
      </c>
      <c r="AD112" s="41">
        <f t="shared" ref="AD112:AJ112" si="126">SUM(AD92:AD111)</f>
        <v>6</v>
      </c>
      <c r="AE112" s="41">
        <f t="shared" si="126"/>
        <v>6</v>
      </c>
      <c r="AF112" s="41">
        <f t="shared" si="126"/>
        <v>83</v>
      </c>
      <c r="AG112" s="41">
        <f t="shared" si="126"/>
        <v>3944.1344749875839</v>
      </c>
      <c r="AH112" s="41">
        <f t="shared" si="126"/>
        <v>-7897.5258496322813</v>
      </c>
      <c r="AI112" s="45">
        <f t="shared" si="126"/>
        <v>63761.796633177997</v>
      </c>
      <c r="AJ112" s="41">
        <f t="shared" si="126"/>
        <v>83</v>
      </c>
      <c r="AK112" s="41">
        <f>IFERROR(AQ112/AN112,0)</f>
        <v>828.98213380622428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83</v>
      </c>
      <c r="AO112" s="41">
        <f t="shared" si="127"/>
        <v>0</v>
      </c>
      <c r="AP112" s="41">
        <f t="shared" si="127"/>
        <v>0</v>
      </c>
      <c r="AQ112" s="45">
        <f t="shared" si="127"/>
        <v>68805.517105916617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55724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59591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58099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62514.524000000005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-2263.5860803368923</v>
      </c>
      <c r="T114" s="39"/>
      <c r="U114" s="39"/>
      <c r="V114" s="53"/>
      <c r="W114" s="53"/>
      <c r="X114" s="110"/>
      <c r="Y114" s="39"/>
      <c r="Z114" s="39"/>
      <c r="AA114" s="54">
        <f>AA113-AA112</f>
        <v>-3100.6700166975206</v>
      </c>
      <c r="AB114" s="39"/>
      <c r="AC114" s="53"/>
      <c r="AD114" s="53"/>
      <c r="AE114" s="110"/>
      <c r="AF114" s="39"/>
      <c r="AG114" s="39"/>
      <c r="AH114" s="39"/>
      <c r="AI114" s="54">
        <f>AI113-AI112</f>
        <v>-5662.7966331779971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-6290.993105916612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Human Settlements Delivery Support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>
        <v>0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>
        <v>0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>
        <v>0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>
        <v>0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4</v>
      </c>
      <c r="G124" s="35">
        <f>SUMIFS(WORKING!$AC$3:$AC$6802,WORKING!$A$3:$A$6802,Results!$D$3,WORKING!$B$3:$B$6802,Results!A124,WORKING!$C$3:$C$6802,Results!C124)/1000</f>
        <v>861.70293000000004</v>
      </c>
      <c r="H124" s="35">
        <f t="shared" si="134"/>
        <v>215.42573250000001</v>
      </c>
      <c r="I124" s="187">
        <v>5</v>
      </c>
      <c r="J124" s="212">
        <v>1160</v>
      </c>
      <c r="K124" s="217">
        <f t="shared" si="135"/>
        <v>232</v>
      </c>
      <c r="L124" s="34">
        <f t="shared" si="128"/>
        <v>5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251.92523763076306</v>
      </c>
      <c r="N124" s="57">
        <v>2</v>
      </c>
      <c r="O124" s="57">
        <v>0</v>
      </c>
      <c r="P124" s="61">
        <f t="shared" si="129"/>
        <v>7</v>
      </c>
      <c r="Q124" s="40">
        <f t="shared" si="136"/>
        <v>503.85047526152613</v>
      </c>
      <c r="R124" s="40">
        <f t="shared" si="137"/>
        <v>0</v>
      </c>
      <c r="S124" s="44">
        <f t="shared" si="138"/>
        <v>1763.4766634153414</v>
      </c>
      <c r="T124" s="35">
        <f t="shared" si="139"/>
        <v>7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273.15465413847676</v>
      </c>
      <c r="V124" s="57">
        <v>0</v>
      </c>
      <c r="W124" s="57">
        <v>0</v>
      </c>
      <c r="X124" s="61">
        <f t="shared" si="130"/>
        <v>7</v>
      </c>
      <c r="Y124" s="40">
        <f t="shared" si="140"/>
        <v>0</v>
      </c>
      <c r="Z124" s="40">
        <f t="shared" si="141"/>
        <v>0</v>
      </c>
      <c r="AA124" s="44">
        <f t="shared" si="142"/>
        <v>1912.0825789693372</v>
      </c>
      <c r="AB124" s="35">
        <f t="shared" si="143"/>
        <v>7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295.89631995506051</v>
      </c>
      <c r="AD124" s="57">
        <v>0</v>
      </c>
      <c r="AE124" s="57">
        <v>0</v>
      </c>
      <c r="AF124" s="61">
        <f t="shared" si="131"/>
        <v>7</v>
      </c>
      <c r="AG124" s="40">
        <f t="shared" si="144"/>
        <v>0</v>
      </c>
      <c r="AH124" s="40">
        <f t="shared" si="145"/>
        <v>0</v>
      </c>
      <c r="AI124" s="44">
        <f t="shared" si="146"/>
        <v>2071.2742396854237</v>
      </c>
      <c r="AJ124" s="35">
        <f t="shared" si="132"/>
        <v>7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319.93182691421561</v>
      </c>
      <c r="AL124" s="57">
        <v>0</v>
      </c>
      <c r="AM124" s="57">
        <v>0</v>
      </c>
      <c r="AN124" s="61">
        <f t="shared" si="133"/>
        <v>7</v>
      </c>
      <c r="AO124" s="40">
        <f t="shared" si="147"/>
        <v>0</v>
      </c>
      <c r="AP124" s="40">
        <f t="shared" si="148"/>
        <v>0</v>
      </c>
      <c r="AQ124" s="44">
        <f t="shared" si="149"/>
        <v>2239.5227883995094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0</v>
      </c>
      <c r="G125" s="35">
        <f>SUMIFS(WORKING!$AC$3:$AC$6802,WORKING!$A$3:$A$6802,Results!$D$3,WORKING!$B$3:$B$6802,Results!A125,WORKING!$C$3:$C$6802,Results!C125)/1000</f>
        <v>156.56739000000002</v>
      </c>
      <c r="H125" s="35">
        <f t="shared" si="134"/>
        <v>0</v>
      </c>
      <c r="I125" s="187">
        <v>1</v>
      </c>
      <c r="J125" s="212">
        <v>302</v>
      </c>
      <c r="K125" s="217">
        <f t="shared" si="135"/>
        <v>302</v>
      </c>
      <c r="L125" s="34">
        <f t="shared" si="128"/>
        <v>1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328.49692087356283</v>
      </c>
      <c r="N125" s="57">
        <v>0</v>
      </c>
      <c r="O125" s="57">
        <v>0</v>
      </c>
      <c r="P125" s="61">
        <f t="shared" si="129"/>
        <v>1</v>
      </c>
      <c r="Q125" s="40">
        <f t="shared" si="136"/>
        <v>0</v>
      </c>
      <c r="R125" s="40">
        <f t="shared" si="137"/>
        <v>0</v>
      </c>
      <c r="S125" s="44">
        <f t="shared" si="138"/>
        <v>328.49692087356283</v>
      </c>
      <c r="T125" s="35">
        <f t="shared" si="139"/>
        <v>1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356.35084018753071</v>
      </c>
      <c r="V125" s="57">
        <v>0</v>
      </c>
      <c r="W125" s="57">
        <v>0</v>
      </c>
      <c r="X125" s="61">
        <f t="shared" si="130"/>
        <v>1</v>
      </c>
      <c r="Y125" s="40">
        <f t="shared" si="140"/>
        <v>0</v>
      </c>
      <c r="Z125" s="40">
        <f t="shared" si="141"/>
        <v>0</v>
      </c>
      <c r="AA125" s="44">
        <f t="shared" si="142"/>
        <v>356.35084018753071</v>
      </c>
      <c r="AB125" s="35">
        <f t="shared" si="143"/>
        <v>1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386.20541014662206</v>
      </c>
      <c r="AD125" s="57">
        <v>0</v>
      </c>
      <c r="AE125" s="57">
        <v>1</v>
      </c>
      <c r="AF125" s="61">
        <f t="shared" si="131"/>
        <v>0</v>
      </c>
      <c r="AG125" s="40">
        <f t="shared" si="144"/>
        <v>0</v>
      </c>
      <c r="AH125" s="40">
        <f t="shared" si="145"/>
        <v>-386.20541014662206</v>
      </c>
      <c r="AI125" s="44">
        <f t="shared" si="146"/>
        <v>0</v>
      </c>
      <c r="AJ125" s="35">
        <f t="shared" si="132"/>
        <v>0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417.77836308310776</v>
      </c>
      <c r="AL125" s="57">
        <v>0</v>
      </c>
      <c r="AM125" s="57">
        <v>0</v>
      </c>
      <c r="AN125" s="61">
        <f t="shared" si="133"/>
        <v>0</v>
      </c>
      <c r="AO125" s="40">
        <f t="shared" si="147"/>
        <v>0</v>
      </c>
      <c r="AP125" s="40">
        <f t="shared" si="148"/>
        <v>0</v>
      </c>
      <c r="AQ125" s="44">
        <f t="shared" si="149"/>
        <v>0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12</v>
      </c>
      <c r="G126" s="35">
        <f>SUMIFS(WORKING!$AC$3:$AC$6802,WORKING!$A$3:$A$6802,Results!$D$3,WORKING!$B$3:$B$6802,Results!A126,WORKING!$C$3:$C$6802,Results!C126)/1000</f>
        <v>3550.2022900000002</v>
      </c>
      <c r="H126" s="35">
        <f t="shared" si="134"/>
        <v>295.85019083333333</v>
      </c>
      <c r="I126" s="187">
        <v>11</v>
      </c>
      <c r="J126" s="212" t="s">
        <v>754</v>
      </c>
      <c r="K126" s="217">
        <f t="shared" si="135"/>
        <v>322.74566272727276</v>
      </c>
      <c r="L126" s="34">
        <f t="shared" si="128"/>
        <v>11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351.24747797613509</v>
      </c>
      <c r="N126" s="57">
        <v>2</v>
      </c>
      <c r="O126" s="57">
        <v>0</v>
      </c>
      <c r="P126" s="61">
        <f t="shared" si="129"/>
        <v>13</v>
      </c>
      <c r="Q126" s="40">
        <f t="shared" si="136"/>
        <v>702.49495595227017</v>
      </c>
      <c r="R126" s="40">
        <f t="shared" si="137"/>
        <v>0</v>
      </c>
      <c r="S126" s="44">
        <f t="shared" si="138"/>
        <v>4566.2172136897561</v>
      </c>
      <c r="T126" s="35">
        <f t="shared" si="139"/>
        <v>13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381.08741474143608</v>
      </c>
      <c r="V126" s="57">
        <v>0</v>
      </c>
      <c r="W126" s="57">
        <v>0</v>
      </c>
      <c r="X126" s="61">
        <f t="shared" si="130"/>
        <v>13</v>
      </c>
      <c r="Y126" s="40">
        <f t="shared" si="140"/>
        <v>0</v>
      </c>
      <c r="Z126" s="40">
        <f t="shared" si="141"/>
        <v>0</v>
      </c>
      <c r="AA126" s="44">
        <f t="shared" si="142"/>
        <v>4954.136391638669</v>
      </c>
      <c r="AB126" s="35">
        <f t="shared" si="143"/>
        <v>13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413.07612529753419</v>
      </c>
      <c r="AD126" s="57">
        <v>0</v>
      </c>
      <c r="AE126" s="57">
        <v>0</v>
      </c>
      <c r="AF126" s="61">
        <f t="shared" si="131"/>
        <v>13</v>
      </c>
      <c r="AG126" s="40">
        <f t="shared" si="144"/>
        <v>0</v>
      </c>
      <c r="AH126" s="40">
        <f t="shared" si="145"/>
        <v>0</v>
      </c>
      <c r="AI126" s="44">
        <f t="shared" si="146"/>
        <v>5369.9896288679447</v>
      </c>
      <c r="AJ126" s="35">
        <f t="shared" si="132"/>
        <v>13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446.91263678094123</v>
      </c>
      <c r="AL126" s="57">
        <v>0</v>
      </c>
      <c r="AM126" s="57">
        <v>0</v>
      </c>
      <c r="AN126" s="61">
        <f t="shared" si="133"/>
        <v>13</v>
      </c>
      <c r="AO126" s="40">
        <f t="shared" si="147"/>
        <v>0</v>
      </c>
      <c r="AP126" s="40">
        <f t="shared" si="148"/>
        <v>0</v>
      </c>
      <c r="AQ126" s="44">
        <f t="shared" si="149"/>
        <v>5809.8642781522358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5</v>
      </c>
      <c r="G127" s="35">
        <f>SUMIFS(WORKING!$AC$3:$AC$6802,WORKING!$A$3:$A$6802,Results!$D$3,WORKING!$B$3:$B$6802,Results!A127,WORKING!$C$3:$C$6802,Results!C127)/1000</f>
        <v>1807.09412</v>
      </c>
      <c r="H127" s="35">
        <f t="shared" si="134"/>
        <v>361.41882399999997</v>
      </c>
      <c r="I127" s="187">
        <v>10</v>
      </c>
      <c r="J127" s="212">
        <v>3800</v>
      </c>
      <c r="K127" s="217">
        <f t="shared" si="135"/>
        <v>380</v>
      </c>
      <c r="L127" s="34">
        <f t="shared" si="128"/>
        <v>10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414.01945941690747</v>
      </c>
      <c r="N127" s="57">
        <v>0</v>
      </c>
      <c r="O127" s="57">
        <v>0</v>
      </c>
      <c r="P127" s="61">
        <f t="shared" si="129"/>
        <v>10</v>
      </c>
      <c r="Q127" s="40">
        <f t="shared" si="136"/>
        <v>0</v>
      </c>
      <c r="R127" s="40">
        <f t="shared" si="137"/>
        <v>0</v>
      </c>
      <c r="S127" s="44">
        <f t="shared" si="138"/>
        <v>4140.1945941690747</v>
      </c>
      <c r="T127" s="35">
        <f t="shared" si="139"/>
        <v>10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449.33703721483369</v>
      </c>
      <c r="V127" s="57">
        <v>0</v>
      </c>
      <c r="W127" s="57">
        <v>0</v>
      </c>
      <c r="X127" s="61">
        <f t="shared" si="130"/>
        <v>10</v>
      </c>
      <c r="Y127" s="40">
        <f t="shared" si="140"/>
        <v>0</v>
      </c>
      <c r="Z127" s="40">
        <f t="shared" si="141"/>
        <v>0</v>
      </c>
      <c r="AA127" s="44">
        <f t="shared" si="142"/>
        <v>4493.3703721483371</v>
      </c>
      <c r="AB127" s="35">
        <f t="shared" si="143"/>
        <v>10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487.21166334603043</v>
      </c>
      <c r="AD127" s="57">
        <v>0</v>
      </c>
      <c r="AE127" s="57">
        <v>3</v>
      </c>
      <c r="AF127" s="61">
        <f t="shared" si="131"/>
        <v>7</v>
      </c>
      <c r="AG127" s="40">
        <f t="shared" si="144"/>
        <v>0</v>
      </c>
      <c r="AH127" s="40">
        <f t="shared" si="145"/>
        <v>-1461.6349900380912</v>
      </c>
      <c r="AI127" s="44">
        <f t="shared" si="146"/>
        <v>3410.481643422213</v>
      </c>
      <c r="AJ127" s="35">
        <f t="shared" si="132"/>
        <v>7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527.29054730075143</v>
      </c>
      <c r="AL127" s="57">
        <v>0</v>
      </c>
      <c r="AM127" s="57">
        <v>0</v>
      </c>
      <c r="AN127" s="61">
        <f t="shared" si="133"/>
        <v>7</v>
      </c>
      <c r="AO127" s="40">
        <f t="shared" si="147"/>
        <v>0</v>
      </c>
      <c r="AP127" s="40">
        <f t="shared" si="148"/>
        <v>0</v>
      </c>
      <c r="AQ127" s="44">
        <f t="shared" si="149"/>
        <v>3691.0338311052601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8</v>
      </c>
      <c r="G128" s="35">
        <f>SUMIFS(WORKING!$AC$3:$AC$6802,WORKING!$A$3:$A$6802,Results!$D$3,WORKING!$B$3:$B$6802,Results!A128,WORKING!$C$3:$C$6802,Results!C128)/1000</f>
        <v>3691.8967600000001</v>
      </c>
      <c r="H128" s="35">
        <f t="shared" si="134"/>
        <v>461.48709500000001</v>
      </c>
      <c r="I128" s="187">
        <v>19</v>
      </c>
      <c r="J128" s="212">
        <v>8360</v>
      </c>
      <c r="K128" s="217">
        <f t="shared" si="135"/>
        <v>440</v>
      </c>
      <c r="L128" s="34">
        <f t="shared" si="128"/>
        <v>19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479.5384482259762</v>
      </c>
      <c r="N128" s="57">
        <v>1</v>
      </c>
      <c r="O128" s="57">
        <v>0</v>
      </c>
      <c r="P128" s="61">
        <f t="shared" si="129"/>
        <v>20</v>
      </c>
      <c r="Q128" s="40">
        <f t="shared" si="136"/>
        <v>479.5384482259762</v>
      </c>
      <c r="R128" s="40">
        <f t="shared" si="137"/>
        <v>0</v>
      </c>
      <c r="S128" s="44">
        <f t="shared" si="138"/>
        <v>9590.7689645195242</v>
      </c>
      <c r="T128" s="35">
        <f t="shared" si="139"/>
        <v>20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520.48934090712146</v>
      </c>
      <c r="V128" s="57">
        <v>0</v>
      </c>
      <c r="W128" s="57">
        <v>0</v>
      </c>
      <c r="X128" s="61">
        <f t="shared" si="130"/>
        <v>20</v>
      </c>
      <c r="Y128" s="40">
        <f t="shared" si="140"/>
        <v>0</v>
      </c>
      <c r="Z128" s="40">
        <f t="shared" si="141"/>
        <v>0</v>
      </c>
      <c r="AA128" s="44">
        <f t="shared" si="142"/>
        <v>10409.786818142429</v>
      </c>
      <c r="AB128" s="35">
        <f t="shared" si="143"/>
        <v>20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564.4094787359827</v>
      </c>
      <c r="AD128" s="57">
        <v>0</v>
      </c>
      <c r="AE128" s="57">
        <v>0</v>
      </c>
      <c r="AF128" s="61">
        <f t="shared" si="131"/>
        <v>20</v>
      </c>
      <c r="AG128" s="40">
        <f t="shared" si="144"/>
        <v>0</v>
      </c>
      <c r="AH128" s="40">
        <f t="shared" si="145"/>
        <v>0</v>
      </c>
      <c r="AI128" s="44">
        <f t="shared" si="146"/>
        <v>11288.189574719654</v>
      </c>
      <c r="AJ128" s="35">
        <f t="shared" si="132"/>
        <v>20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610.8909927662163</v>
      </c>
      <c r="AL128" s="57">
        <v>0</v>
      </c>
      <c r="AM128" s="57">
        <v>0</v>
      </c>
      <c r="AN128" s="61">
        <f t="shared" si="133"/>
        <v>20</v>
      </c>
      <c r="AO128" s="40">
        <f t="shared" si="147"/>
        <v>0</v>
      </c>
      <c r="AP128" s="40">
        <f t="shared" si="148"/>
        <v>0</v>
      </c>
      <c r="AQ128" s="44">
        <f t="shared" si="149"/>
        <v>12217.819855324326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7</v>
      </c>
      <c r="G129" s="35">
        <f>SUMIFS(WORKING!$AC$3:$AC$6802,WORKING!$A$3:$A$6802,Results!$D$3,WORKING!$B$3:$B$6802,Results!A129,WORKING!$C$3:$C$6802,Results!C129)/1000</f>
        <v>3422.5444700000007</v>
      </c>
      <c r="H129" s="35">
        <f t="shared" si="134"/>
        <v>488.93492428571437</v>
      </c>
      <c r="I129" s="187">
        <v>16</v>
      </c>
      <c r="J129" s="212">
        <v>7824</v>
      </c>
      <c r="K129" s="217">
        <f t="shared" si="135"/>
        <v>489</v>
      </c>
      <c r="L129" s="34">
        <f t="shared" si="128"/>
        <v>16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533.35292703938853</v>
      </c>
      <c r="N129" s="57">
        <v>0</v>
      </c>
      <c r="O129" s="57">
        <v>0</v>
      </c>
      <c r="P129" s="61">
        <f t="shared" si="129"/>
        <v>16</v>
      </c>
      <c r="Q129" s="40">
        <f t="shared" si="136"/>
        <v>0</v>
      </c>
      <c r="R129" s="40">
        <f t="shared" si="137"/>
        <v>0</v>
      </c>
      <c r="S129" s="44">
        <f t="shared" si="138"/>
        <v>8533.6468326302165</v>
      </c>
      <c r="T129" s="35">
        <f t="shared" si="139"/>
        <v>16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579.02840372106039</v>
      </c>
      <c r="V129" s="57">
        <v>0</v>
      </c>
      <c r="W129" s="57">
        <v>0</v>
      </c>
      <c r="X129" s="61">
        <f t="shared" si="130"/>
        <v>16</v>
      </c>
      <c r="Y129" s="40">
        <f t="shared" si="140"/>
        <v>0</v>
      </c>
      <c r="Z129" s="40">
        <f t="shared" si="141"/>
        <v>0</v>
      </c>
      <c r="AA129" s="44">
        <f t="shared" si="142"/>
        <v>9264.4544595369662</v>
      </c>
      <c r="AB129" s="35">
        <f t="shared" si="143"/>
        <v>16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628.02804565561541</v>
      </c>
      <c r="AD129" s="57">
        <v>0</v>
      </c>
      <c r="AE129" s="57">
        <v>4</v>
      </c>
      <c r="AF129" s="61">
        <f t="shared" si="131"/>
        <v>12</v>
      </c>
      <c r="AG129" s="40">
        <f t="shared" si="144"/>
        <v>0</v>
      </c>
      <c r="AH129" s="40">
        <f t="shared" si="145"/>
        <v>-2512.1121826224617</v>
      </c>
      <c r="AI129" s="44">
        <f t="shared" si="146"/>
        <v>7536.336547867385</v>
      </c>
      <c r="AJ129" s="35">
        <f t="shared" si="132"/>
        <v>12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679.89999438030316</v>
      </c>
      <c r="AL129" s="57">
        <v>0</v>
      </c>
      <c r="AM129" s="57">
        <v>0</v>
      </c>
      <c r="AN129" s="61">
        <f t="shared" si="133"/>
        <v>12</v>
      </c>
      <c r="AO129" s="40">
        <f t="shared" si="147"/>
        <v>0</v>
      </c>
      <c r="AP129" s="40">
        <f t="shared" si="148"/>
        <v>0</v>
      </c>
      <c r="AQ129" s="44">
        <f t="shared" si="149"/>
        <v>8158.7999325636374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15</v>
      </c>
      <c r="G130" s="35">
        <f>SUMIFS(WORKING!$AC$3:$AC$6802,WORKING!$A$3:$A$6802,Results!$D$3,WORKING!$B$3:$B$6802,Results!A130,WORKING!$C$3:$C$6802,Results!C130)/1000</f>
        <v>8741.4692400000004</v>
      </c>
      <c r="H130" s="35">
        <f t="shared" si="134"/>
        <v>582.76461600000005</v>
      </c>
      <c r="I130" s="187">
        <v>20</v>
      </c>
      <c r="J130" s="212">
        <v>12160</v>
      </c>
      <c r="K130" s="217">
        <f t="shared" si="135"/>
        <v>608</v>
      </c>
      <c r="L130" s="34">
        <f t="shared" si="128"/>
        <v>20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663.80987214439119</v>
      </c>
      <c r="N130" s="57">
        <v>2</v>
      </c>
      <c r="O130" s="57">
        <v>0</v>
      </c>
      <c r="P130" s="61">
        <f t="shared" si="129"/>
        <v>22</v>
      </c>
      <c r="Q130" s="40">
        <f t="shared" si="136"/>
        <v>1327.6197442887824</v>
      </c>
      <c r="R130" s="40">
        <f t="shared" si="137"/>
        <v>0</v>
      </c>
      <c r="S130" s="44">
        <f t="shared" si="138"/>
        <v>14603.817187176606</v>
      </c>
      <c r="T130" s="35">
        <f t="shared" si="139"/>
        <v>22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720.70135889701385</v>
      </c>
      <c r="V130" s="57">
        <v>0</v>
      </c>
      <c r="W130" s="57">
        <v>0</v>
      </c>
      <c r="X130" s="61">
        <f t="shared" si="130"/>
        <v>22</v>
      </c>
      <c r="Y130" s="40">
        <f t="shared" si="140"/>
        <v>0</v>
      </c>
      <c r="Z130" s="40">
        <f t="shared" si="141"/>
        <v>0</v>
      </c>
      <c r="AA130" s="44">
        <f t="shared" si="142"/>
        <v>15855.429895734305</v>
      </c>
      <c r="AB130" s="35">
        <f t="shared" si="143"/>
        <v>22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781.73742236425119</v>
      </c>
      <c r="AD130" s="57">
        <v>0</v>
      </c>
      <c r="AE130" s="57">
        <v>0</v>
      </c>
      <c r="AF130" s="61">
        <f t="shared" si="131"/>
        <v>22</v>
      </c>
      <c r="AG130" s="40">
        <f t="shared" si="144"/>
        <v>0</v>
      </c>
      <c r="AH130" s="40">
        <f t="shared" si="145"/>
        <v>0</v>
      </c>
      <c r="AI130" s="44">
        <f t="shared" si="146"/>
        <v>17198.223292013525</v>
      </c>
      <c r="AJ130" s="35">
        <f t="shared" si="132"/>
        <v>22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846.35619653418507</v>
      </c>
      <c r="AL130" s="57">
        <v>0</v>
      </c>
      <c r="AM130" s="57">
        <v>0</v>
      </c>
      <c r="AN130" s="61">
        <f t="shared" si="133"/>
        <v>22</v>
      </c>
      <c r="AO130" s="40">
        <f t="shared" si="147"/>
        <v>0</v>
      </c>
      <c r="AP130" s="40">
        <f t="shared" si="148"/>
        <v>0</v>
      </c>
      <c r="AQ130" s="44">
        <f t="shared" si="149"/>
        <v>18619.836323752072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9</v>
      </c>
      <c r="G131" s="35">
        <f>SUMIFS(WORKING!$AC$3:$AC$6802,WORKING!$A$3:$A$6802,Results!$D$3,WORKING!$B$3:$B$6802,Results!A131,WORKING!$C$3:$C$6802,Results!C131)/1000</f>
        <v>7764.0629500000014</v>
      </c>
      <c r="H131" s="35">
        <f t="shared" si="134"/>
        <v>862.6736611111113</v>
      </c>
      <c r="I131" s="187">
        <v>8</v>
      </c>
      <c r="J131" s="212">
        <v>6096</v>
      </c>
      <c r="K131" s="217">
        <f t="shared" si="135"/>
        <v>762</v>
      </c>
      <c r="L131" s="34">
        <f t="shared" si="128"/>
        <v>8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831.96408437284856</v>
      </c>
      <c r="N131" s="57">
        <v>4</v>
      </c>
      <c r="O131" s="57">
        <v>0</v>
      </c>
      <c r="P131" s="61">
        <f t="shared" si="129"/>
        <v>12</v>
      </c>
      <c r="Q131" s="40">
        <f t="shared" si="136"/>
        <v>3327.8563374913942</v>
      </c>
      <c r="R131" s="40">
        <f t="shared" si="137"/>
        <v>0</v>
      </c>
      <c r="S131" s="44">
        <f t="shared" si="138"/>
        <v>9983.5690124741832</v>
      </c>
      <c r="T131" s="35">
        <f t="shared" si="139"/>
        <v>12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903.28685800963638</v>
      </c>
      <c r="V131" s="57">
        <v>0</v>
      </c>
      <c r="W131" s="57">
        <v>0</v>
      </c>
      <c r="X131" s="61">
        <f t="shared" si="130"/>
        <v>12</v>
      </c>
      <c r="Y131" s="40">
        <f t="shared" si="140"/>
        <v>0</v>
      </c>
      <c r="Z131" s="40">
        <f t="shared" si="141"/>
        <v>0</v>
      </c>
      <c r="AA131" s="44">
        <f t="shared" si="142"/>
        <v>10839.442296115636</v>
      </c>
      <c r="AB131" s="35">
        <f t="shared" si="143"/>
        <v>12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979.80743932125074</v>
      </c>
      <c r="AD131" s="57">
        <v>0</v>
      </c>
      <c r="AE131" s="57">
        <v>0</v>
      </c>
      <c r="AF131" s="61">
        <f t="shared" si="131"/>
        <v>12</v>
      </c>
      <c r="AG131" s="40">
        <f t="shared" si="144"/>
        <v>0</v>
      </c>
      <c r="AH131" s="40">
        <f t="shared" si="145"/>
        <v>0</v>
      </c>
      <c r="AI131" s="44">
        <f t="shared" si="146"/>
        <v>11757.689271855008</v>
      </c>
      <c r="AJ131" s="35">
        <f t="shared" si="132"/>
        <v>12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1060.8219263255355</v>
      </c>
      <c r="AL131" s="57">
        <v>0</v>
      </c>
      <c r="AM131" s="57">
        <v>0</v>
      </c>
      <c r="AN131" s="61">
        <f t="shared" si="133"/>
        <v>12</v>
      </c>
      <c r="AO131" s="40">
        <f t="shared" si="147"/>
        <v>0</v>
      </c>
      <c r="AP131" s="40">
        <f t="shared" si="148"/>
        <v>0</v>
      </c>
      <c r="AQ131" s="44">
        <f t="shared" si="149"/>
        <v>12729.863115906426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11</v>
      </c>
      <c r="G132" s="35">
        <f>SUMIFS(WORKING!$AC$3:$AC$6802,WORKING!$A$3:$A$6802,Results!$D$3,WORKING!$B$3:$B$6802,Results!A132,WORKING!$C$3:$C$6802,Results!C132)/1000</f>
        <v>9443.5542499999974</v>
      </c>
      <c r="H132" s="35">
        <f t="shared" si="134"/>
        <v>858.5049318181816</v>
      </c>
      <c r="I132" s="187">
        <v>12</v>
      </c>
      <c r="J132" s="212">
        <v>11664</v>
      </c>
      <c r="K132" s="217">
        <f t="shared" si="135"/>
        <v>972</v>
      </c>
      <c r="L132" s="34">
        <f t="shared" si="128"/>
        <v>12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1018.8341633731366</v>
      </c>
      <c r="N132" s="57">
        <v>0</v>
      </c>
      <c r="O132" s="57">
        <v>0</v>
      </c>
      <c r="P132" s="61">
        <f t="shared" si="129"/>
        <v>12</v>
      </c>
      <c r="Q132" s="40">
        <f t="shared" si="136"/>
        <v>0</v>
      </c>
      <c r="R132" s="40">
        <f t="shared" si="137"/>
        <v>0</v>
      </c>
      <c r="S132" s="44">
        <f t="shared" si="138"/>
        <v>12226.009960477639</v>
      </c>
      <c r="T132" s="35">
        <f t="shared" si="139"/>
        <v>12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1095.8378007278468</v>
      </c>
      <c r="V132" s="57">
        <v>0</v>
      </c>
      <c r="W132" s="57">
        <v>0</v>
      </c>
      <c r="X132" s="61">
        <f t="shared" si="130"/>
        <v>12</v>
      </c>
      <c r="Y132" s="40">
        <f t="shared" si="140"/>
        <v>0</v>
      </c>
      <c r="Z132" s="40">
        <f t="shared" si="141"/>
        <v>0</v>
      </c>
      <c r="AA132" s="44">
        <f t="shared" si="142"/>
        <v>13150.053608734161</v>
      </c>
      <c r="AB132" s="35">
        <f t="shared" si="143"/>
        <v>12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1177.5494397258269</v>
      </c>
      <c r="AD132" s="57">
        <v>0</v>
      </c>
      <c r="AE132" s="57">
        <v>1</v>
      </c>
      <c r="AF132" s="61">
        <f t="shared" si="131"/>
        <v>11</v>
      </c>
      <c r="AG132" s="40">
        <f t="shared" si="144"/>
        <v>0</v>
      </c>
      <c r="AH132" s="40">
        <f t="shared" si="145"/>
        <v>-1177.5494397258269</v>
      </c>
      <c r="AI132" s="44">
        <f t="shared" si="146"/>
        <v>12953.043836984096</v>
      </c>
      <c r="AJ132" s="35">
        <f t="shared" si="132"/>
        <v>11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1262.9642291559821</v>
      </c>
      <c r="AL132" s="57">
        <v>0</v>
      </c>
      <c r="AM132" s="57">
        <v>0</v>
      </c>
      <c r="AN132" s="61">
        <f t="shared" si="133"/>
        <v>11</v>
      </c>
      <c r="AO132" s="40">
        <f t="shared" si="147"/>
        <v>0</v>
      </c>
      <c r="AP132" s="40">
        <f t="shared" si="148"/>
        <v>0</v>
      </c>
      <c r="AQ132" s="44">
        <f t="shared" si="149"/>
        <v>13892.606520715803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10</v>
      </c>
      <c r="G133" s="35">
        <f>SUMIFS(WORKING!$AC$3:$AC$6802,WORKING!$A$3:$A$6802,Results!$D$3,WORKING!$B$3:$B$6802,Results!A133,WORKING!$C$3:$C$6802,Results!C133)/1000</f>
        <v>10339.614099999999</v>
      </c>
      <c r="H133" s="35">
        <f t="shared" si="134"/>
        <v>1033.9614099999999</v>
      </c>
      <c r="I133" s="187">
        <v>6</v>
      </c>
      <c r="J133" s="212">
        <v>6612</v>
      </c>
      <c r="K133" s="217">
        <f t="shared" si="135"/>
        <v>1102</v>
      </c>
      <c r="L133" s="34">
        <f t="shared" si="128"/>
        <v>6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1154.8344119577621</v>
      </c>
      <c r="N133" s="57">
        <v>0</v>
      </c>
      <c r="O133" s="57">
        <v>0</v>
      </c>
      <c r="P133" s="61">
        <f t="shared" si="129"/>
        <v>6</v>
      </c>
      <c r="Q133" s="40">
        <f t="shared" si="136"/>
        <v>0</v>
      </c>
      <c r="R133" s="40">
        <f t="shared" si="137"/>
        <v>0</v>
      </c>
      <c r="S133" s="44">
        <f t="shared" si="138"/>
        <v>6929.0064717465721</v>
      </c>
      <c r="T133" s="35">
        <f t="shared" si="139"/>
        <v>6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1241.8335317326239</v>
      </c>
      <c r="V133" s="57">
        <v>0</v>
      </c>
      <c r="W133" s="57">
        <v>0</v>
      </c>
      <c r="X133" s="61">
        <f t="shared" si="130"/>
        <v>6</v>
      </c>
      <c r="Y133" s="40">
        <f t="shared" si="140"/>
        <v>0</v>
      </c>
      <c r="Z133" s="40">
        <f t="shared" si="141"/>
        <v>0</v>
      </c>
      <c r="AA133" s="44">
        <f t="shared" si="142"/>
        <v>7451.0011903957438</v>
      </c>
      <c r="AB133" s="35">
        <f t="shared" si="143"/>
        <v>6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1334.1269065077315</v>
      </c>
      <c r="AD133" s="57">
        <v>0</v>
      </c>
      <c r="AE133" s="57">
        <v>0</v>
      </c>
      <c r="AF133" s="61">
        <f t="shared" si="131"/>
        <v>6</v>
      </c>
      <c r="AG133" s="40">
        <f t="shared" si="144"/>
        <v>0</v>
      </c>
      <c r="AH133" s="40">
        <f t="shared" si="145"/>
        <v>0</v>
      </c>
      <c r="AI133" s="44">
        <f t="shared" si="146"/>
        <v>8004.7614390463896</v>
      </c>
      <c r="AJ133" s="35">
        <f t="shared" si="132"/>
        <v>6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1430.5726930200442</v>
      </c>
      <c r="AL133" s="57">
        <v>0</v>
      </c>
      <c r="AM133" s="57">
        <v>0</v>
      </c>
      <c r="AN133" s="61">
        <f t="shared" si="133"/>
        <v>6</v>
      </c>
      <c r="AO133" s="40">
        <f t="shared" si="147"/>
        <v>0</v>
      </c>
      <c r="AP133" s="40">
        <f t="shared" si="148"/>
        <v>0</v>
      </c>
      <c r="AQ133" s="44">
        <f t="shared" si="149"/>
        <v>8583.4361581202647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2</v>
      </c>
      <c r="G134" s="35">
        <f>SUMIFS(WORKING!$AC$3:$AC$6802,WORKING!$A$3:$A$6802,Results!$D$3,WORKING!$B$3:$B$6802,Results!A134,WORKING!$C$3:$C$6802,Results!C134)/1000</f>
        <v>3323.44668</v>
      </c>
      <c r="H134" s="35">
        <f t="shared" si="134"/>
        <v>1661.72334</v>
      </c>
      <c r="I134" s="187">
        <v>2</v>
      </c>
      <c r="J134" s="212">
        <v>2574</v>
      </c>
      <c r="K134" s="217">
        <f t="shared" si="135"/>
        <v>1287</v>
      </c>
      <c r="L134" s="34">
        <f t="shared" si="128"/>
        <v>2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1348.9918403071367</v>
      </c>
      <c r="N134" s="57">
        <v>0</v>
      </c>
      <c r="O134" s="57">
        <v>0</v>
      </c>
      <c r="P134" s="61">
        <f t="shared" si="129"/>
        <v>2</v>
      </c>
      <c r="Q134" s="40">
        <f t="shared" si="136"/>
        <v>0</v>
      </c>
      <c r="R134" s="40">
        <f t="shared" si="137"/>
        <v>0</v>
      </c>
      <c r="S134" s="44">
        <f t="shared" si="138"/>
        <v>2697.9836806142735</v>
      </c>
      <c r="T134" s="35">
        <f t="shared" si="139"/>
        <v>2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1450.9272668062333</v>
      </c>
      <c r="V134" s="57">
        <v>0</v>
      </c>
      <c r="W134" s="57">
        <v>0</v>
      </c>
      <c r="X134" s="61">
        <f t="shared" si="130"/>
        <v>2</v>
      </c>
      <c r="Y134" s="40">
        <f t="shared" si="140"/>
        <v>0</v>
      </c>
      <c r="Z134" s="40">
        <f t="shared" si="141"/>
        <v>0</v>
      </c>
      <c r="AA134" s="44">
        <f t="shared" si="142"/>
        <v>2901.8545336124666</v>
      </c>
      <c r="AB134" s="35">
        <f t="shared" si="143"/>
        <v>2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1559.0931260516315</v>
      </c>
      <c r="AD134" s="57">
        <v>0</v>
      </c>
      <c r="AE134" s="57">
        <v>0</v>
      </c>
      <c r="AF134" s="61">
        <f t="shared" si="131"/>
        <v>2</v>
      </c>
      <c r="AG134" s="40">
        <f t="shared" si="144"/>
        <v>0</v>
      </c>
      <c r="AH134" s="40">
        <f t="shared" si="145"/>
        <v>0</v>
      </c>
      <c r="AI134" s="44">
        <f t="shared" si="146"/>
        <v>3118.1862521032631</v>
      </c>
      <c r="AJ134" s="35">
        <f t="shared" si="132"/>
        <v>2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1672.1587217216361</v>
      </c>
      <c r="AL134" s="57">
        <v>0</v>
      </c>
      <c r="AM134" s="57">
        <v>0</v>
      </c>
      <c r="AN134" s="61">
        <f t="shared" si="133"/>
        <v>2</v>
      </c>
      <c r="AO134" s="40">
        <f t="shared" si="147"/>
        <v>0</v>
      </c>
      <c r="AP134" s="40">
        <f t="shared" si="148"/>
        <v>0</v>
      </c>
      <c r="AQ134" s="44">
        <f t="shared" si="149"/>
        <v>3344.3174434432722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83</v>
      </c>
      <c r="G140" s="41">
        <f>SUM(G120:G139)</f>
        <v>53102.155180000002</v>
      </c>
      <c r="H140" s="41">
        <f>IFERROR(G140/F140,0)</f>
        <v>639.78500216867474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110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64102.202290000001</v>
      </c>
      <c r="K140" s="41">
        <f>IFERROR(J140/I140,"")</f>
        <v>582.74729354545457</v>
      </c>
      <c r="L140" s="41">
        <f>SUM(L120:L139)</f>
        <v>110</v>
      </c>
      <c r="M140" s="41">
        <f>IFERROR(S140/P140,0)</f>
        <v>622.83626034534495</v>
      </c>
      <c r="N140" s="41">
        <f t="shared" ref="N140:T140" si="151">SUM(N120:N139)</f>
        <v>11</v>
      </c>
      <c r="O140" s="41">
        <f t="shared" si="151"/>
        <v>0</v>
      </c>
      <c r="P140" s="41">
        <f t="shared" si="151"/>
        <v>121</v>
      </c>
      <c r="Q140" s="41">
        <f t="shared" si="151"/>
        <v>6341.3599612199487</v>
      </c>
      <c r="R140" s="41">
        <f t="shared" si="151"/>
        <v>0</v>
      </c>
      <c r="S140" s="45">
        <f t="shared" si="151"/>
        <v>75363.187501786742</v>
      </c>
      <c r="T140" s="41">
        <f t="shared" si="151"/>
        <v>121</v>
      </c>
      <c r="U140" s="41">
        <f>IFERROR(AA140/X140,0)</f>
        <v>674.280685828228</v>
      </c>
      <c r="V140" s="41">
        <f t="shared" ref="V140:AB140" si="152">SUM(V120:V139)</f>
        <v>0</v>
      </c>
      <c r="W140" s="41">
        <f t="shared" si="152"/>
        <v>0</v>
      </c>
      <c r="X140" s="41">
        <f t="shared" si="152"/>
        <v>121</v>
      </c>
      <c r="Y140" s="41">
        <f t="shared" si="152"/>
        <v>0</v>
      </c>
      <c r="Z140" s="41">
        <f t="shared" si="152"/>
        <v>0</v>
      </c>
      <c r="AA140" s="45">
        <f t="shared" si="152"/>
        <v>81587.962985215592</v>
      </c>
      <c r="AB140" s="41">
        <f t="shared" si="152"/>
        <v>121</v>
      </c>
      <c r="AC140" s="41">
        <f>IFERROR(AI140/AF140,0)</f>
        <v>738.46585470147227</v>
      </c>
      <c r="AD140" s="41">
        <f t="shared" ref="AD140:AJ140" si="153">SUM(AD120:AD139)</f>
        <v>0</v>
      </c>
      <c r="AE140" s="41">
        <f t="shared" si="153"/>
        <v>9</v>
      </c>
      <c r="AF140" s="41">
        <f t="shared" si="153"/>
        <v>112</v>
      </c>
      <c r="AG140" s="41">
        <f t="shared" si="153"/>
        <v>0</v>
      </c>
      <c r="AH140" s="41">
        <f t="shared" si="153"/>
        <v>-5537.5020225330018</v>
      </c>
      <c r="AI140" s="45">
        <f t="shared" si="153"/>
        <v>82708.175726564892</v>
      </c>
      <c r="AJ140" s="41">
        <f t="shared" si="153"/>
        <v>112</v>
      </c>
      <c r="AK140" s="41">
        <f>IFERROR(AQ140/AN140,0)</f>
        <v>797.20625220966781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112</v>
      </c>
      <c r="AO140" s="41">
        <f t="shared" si="154"/>
        <v>0</v>
      </c>
      <c r="AP140" s="41">
        <f t="shared" si="154"/>
        <v>0</v>
      </c>
      <c r="AQ140" s="45">
        <f t="shared" si="154"/>
        <v>89287.100247482798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93259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75473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75368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81095.968000000008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17895.812498213258</v>
      </c>
      <c r="T142" s="39"/>
      <c r="U142" s="39"/>
      <c r="V142" s="53"/>
      <c r="W142" s="53"/>
      <c r="X142" s="110"/>
      <c r="Y142" s="39"/>
      <c r="Z142" s="39"/>
      <c r="AA142" s="54">
        <f>AA141-AA140</f>
        <v>-6114.9629852155922</v>
      </c>
      <c r="AB142" s="39"/>
      <c r="AC142" s="53"/>
      <c r="AD142" s="53"/>
      <c r="AE142" s="110"/>
      <c r="AF142" s="39"/>
      <c r="AG142" s="39"/>
      <c r="AH142" s="39"/>
      <c r="AI142" s="54">
        <f>AI141-AI140</f>
        <v>-7340.1757265648921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-8191.1322474827903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Housing Development Finance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>
        <v>0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>
        <v>0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>
        <v>0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>
        <v>0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2</v>
      </c>
      <c r="G152" s="35">
        <f>SUMIFS(WORKING!$AC$3:$AC$6802,WORKING!$A$3:$A$6802,Results!$D$3,WORKING!$B$3:$B$6802,Results!A152,WORKING!$C$3:$C$6802,Results!C152)/1000</f>
        <v>387.22173000000004</v>
      </c>
      <c r="H152" s="35">
        <f t="shared" si="161"/>
        <v>193.61086500000002</v>
      </c>
      <c r="I152" s="187">
        <v>1</v>
      </c>
      <c r="J152" s="212">
        <v>225</v>
      </c>
      <c r="K152" s="217">
        <f t="shared" si="162"/>
        <v>225</v>
      </c>
      <c r="L152" s="34">
        <f t="shared" si="155"/>
        <v>1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244.34738917824407</v>
      </c>
      <c r="N152" s="57">
        <v>0</v>
      </c>
      <c r="O152" s="57">
        <v>0</v>
      </c>
      <c r="P152" s="61">
        <f t="shared" si="156"/>
        <v>1</v>
      </c>
      <c r="Q152" s="40">
        <f t="shared" si="163"/>
        <v>0</v>
      </c>
      <c r="R152" s="40">
        <f t="shared" si="164"/>
        <v>0</v>
      </c>
      <c r="S152" s="44">
        <f t="shared" si="165"/>
        <v>244.34738917824407</v>
      </c>
      <c r="T152" s="35">
        <f t="shared" si="166"/>
        <v>1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264.94681648880328</v>
      </c>
      <c r="V152" s="57">
        <v>0</v>
      </c>
      <c r="W152" s="57">
        <v>0</v>
      </c>
      <c r="X152" s="61">
        <f t="shared" si="157"/>
        <v>1</v>
      </c>
      <c r="Y152" s="40">
        <f t="shared" si="167"/>
        <v>0</v>
      </c>
      <c r="Z152" s="40">
        <f t="shared" si="168"/>
        <v>0</v>
      </c>
      <c r="AA152" s="44">
        <f t="shared" si="169"/>
        <v>264.94681648880328</v>
      </c>
      <c r="AB152" s="35">
        <f t="shared" si="170"/>
        <v>1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287.01436294739159</v>
      </c>
      <c r="AD152" s="57">
        <v>0</v>
      </c>
      <c r="AE152" s="57">
        <v>0</v>
      </c>
      <c r="AF152" s="61">
        <f t="shared" si="158"/>
        <v>1</v>
      </c>
      <c r="AG152" s="40">
        <f t="shared" si="171"/>
        <v>0</v>
      </c>
      <c r="AH152" s="40">
        <f t="shared" si="172"/>
        <v>0</v>
      </c>
      <c r="AI152" s="44">
        <f t="shared" si="173"/>
        <v>287.01436294739159</v>
      </c>
      <c r="AJ152" s="35">
        <f t="shared" si="159"/>
        <v>1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310.33821615295773</v>
      </c>
      <c r="AL152" s="57">
        <v>0</v>
      </c>
      <c r="AM152" s="57">
        <v>0</v>
      </c>
      <c r="AN152" s="61">
        <f t="shared" si="160"/>
        <v>1</v>
      </c>
      <c r="AO152" s="40">
        <f t="shared" si="174"/>
        <v>0</v>
      </c>
      <c r="AP152" s="40">
        <f t="shared" si="175"/>
        <v>0</v>
      </c>
      <c r="AQ152" s="44">
        <f t="shared" si="176"/>
        <v>310.33821615295773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0</v>
      </c>
      <c r="G153" s="35">
        <f>SUMIFS(WORKING!$AC$3:$AC$6802,WORKING!$A$3:$A$6802,Results!$D$3,WORKING!$B$3:$B$6802,Results!A153,WORKING!$C$3:$C$6802,Results!C153)/1000</f>
        <v>14.132580000000001</v>
      </c>
      <c r="H153" s="35">
        <f t="shared" si="161"/>
        <v>0</v>
      </c>
      <c r="I153" s="187">
        <v>0</v>
      </c>
      <c r="J153" s="212" t="s">
        <v>754</v>
      </c>
      <c r="K153" s="217" t="str">
        <f t="shared" si="162"/>
        <v/>
      </c>
      <c r="L153" s="34">
        <f t="shared" si="155"/>
        <v>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0</v>
      </c>
      <c r="N153" s="57">
        <v>0</v>
      </c>
      <c r="O153" s="57">
        <v>0</v>
      </c>
      <c r="P153" s="61">
        <f t="shared" si="156"/>
        <v>0</v>
      </c>
      <c r="Q153" s="40">
        <f t="shared" si="163"/>
        <v>0</v>
      </c>
      <c r="R153" s="40">
        <f t="shared" si="164"/>
        <v>0</v>
      </c>
      <c r="S153" s="44">
        <f t="shared" si="165"/>
        <v>0</v>
      </c>
      <c r="T153" s="35">
        <f t="shared" si="166"/>
        <v>0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0</v>
      </c>
      <c r="V153" s="57">
        <v>0</v>
      </c>
      <c r="W153" s="57">
        <v>0</v>
      </c>
      <c r="X153" s="61">
        <f t="shared" si="157"/>
        <v>0</v>
      </c>
      <c r="Y153" s="40">
        <f t="shared" si="167"/>
        <v>0</v>
      </c>
      <c r="Z153" s="40">
        <f t="shared" si="168"/>
        <v>0</v>
      </c>
      <c r="AA153" s="44">
        <f t="shared" si="169"/>
        <v>0</v>
      </c>
      <c r="AB153" s="35">
        <f t="shared" si="170"/>
        <v>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0</v>
      </c>
      <c r="AD153" s="57">
        <v>0</v>
      </c>
      <c r="AE153" s="57">
        <v>0</v>
      </c>
      <c r="AF153" s="61">
        <f t="shared" si="158"/>
        <v>0</v>
      </c>
      <c r="AG153" s="40">
        <f t="shared" si="171"/>
        <v>0</v>
      </c>
      <c r="AH153" s="40">
        <f t="shared" si="172"/>
        <v>0</v>
      </c>
      <c r="AI153" s="44">
        <f t="shared" si="173"/>
        <v>0</v>
      </c>
      <c r="AJ153" s="35">
        <f t="shared" si="159"/>
        <v>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0</v>
      </c>
      <c r="AL153" s="57">
        <v>0</v>
      </c>
      <c r="AM153" s="57">
        <v>0</v>
      </c>
      <c r="AN153" s="61">
        <f t="shared" si="160"/>
        <v>0</v>
      </c>
      <c r="AO153" s="40">
        <f t="shared" si="174"/>
        <v>0</v>
      </c>
      <c r="AP153" s="40">
        <f t="shared" si="175"/>
        <v>0</v>
      </c>
      <c r="AQ153" s="44">
        <f t="shared" si="176"/>
        <v>0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9</v>
      </c>
      <c r="G154" s="35">
        <f>SUMIFS(WORKING!$AC$3:$AC$6802,WORKING!$A$3:$A$6802,Results!$D$3,WORKING!$B$3:$B$6802,Results!A154,WORKING!$C$3:$C$6802,Results!C154)/1000</f>
        <v>2553.5194799999999</v>
      </c>
      <c r="H154" s="35">
        <f t="shared" si="161"/>
        <v>283.72438666666665</v>
      </c>
      <c r="I154" s="187">
        <v>4</v>
      </c>
      <c r="J154" s="212">
        <v>1272</v>
      </c>
      <c r="K154" s="217">
        <f t="shared" si="162"/>
        <v>318</v>
      </c>
      <c r="L154" s="34">
        <f t="shared" si="155"/>
        <v>4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346.09706515430292</v>
      </c>
      <c r="N154" s="57">
        <v>2</v>
      </c>
      <c r="O154" s="57">
        <v>0</v>
      </c>
      <c r="P154" s="61">
        <f t="shared" si="156"/>
        <v>6</v>
      </c>
      <c r="Q154" s="40">
        <f t="shared" si="163"/>
        <v>692.19413030860585</v>
      </c>
      <c r="R154" s="40">
        <f t="shared" si="164"/>
        <v>0</v>
      </c>
      <c r="S154" s="44">
        <f t="shared" si="165"/>
        <v>2076.5823909258174</v>
      </c>
      <c r="T154" s="35">
        <f t="shared" si="166"/>
        <v>6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375.50421234662934</v>
      </c>
      <c r="V154" s="57">
        <v>0</v>
      </c>
      <c r="W154" s="57">
        <v>0</v>
      </c>
      <c r="X154" s="61">
        <f t="shared" si="157"/>
        <v>6</v>
      </c>
      <c r="Y154" s="40">
        <f t="shared" si="167"/>
        <v>0</v>
      </c>
      <c r="Z154" s="40">
        <f t="shared" si="168"/>
        <v>0</v>
      </c>
      <c r="AA154" s="44">
        <f t="shared" si="169"/>
        <v>2253.025274079776</v>
      </c>
      <c r="AB154" s="35">
        <f t="shared" si="170"/>
        <v>6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407.02940645599045</v>
      </c>
      <c r="AD154" s="57">
        <v>0</v>
      </c>
      <c r="AE154" s="57">
        <v>0</v>
      </c>
      <c r="AF154" s="61">
        <f t="shared" si="158"/>
        <v>6</v>
      </c>
      <c r="AG154" s="40">
        <f t="shared" si="171"/>
        <v>0</v>
      </c>
      <c r="AH154" s="40">
        <f t="shared" si="172"/>
        <v>0</v>
      </c>
      <c r="AI154" s="44">
        <f t="shared" si="173"/>
        <v>2442.1764387359426</v>
      </c>
      <c r="AJ154" s="35">
        <f t="shared" si="159"/>
        <v>6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440.37613300814718</v>
      </c>
      <c r="AL154" s="57">
        <v>0</v>
      </c>
      <c r="AM154" s="57">
        <v>0</v>
      </c>
      <c r="AN154" s="61">
        <f t="shared" si="160"/>
        <v>6</v>
      </c>
      <c r="AO154" s="40">
        <f t="shared" si="174"/>
        <v>0</v>
      </c>
      <c r="AP154" s="40">
        <f t="shared" si="175"/>
        <v>0</v>
      </c>
      <c r="AQ154" s="44">
        <f t="shared" si="176"/>
        <v>2642.256798048883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4</v>
      </c>
      <c r="G155" s="35">
        <f>SUMIFS(WORKING!$AC$3:$AC$6802,WORKING!$A$3:$A$6802,Results!$D$3,WORKING!$B$3:$B$6802,Results!A155,WORKING!$C$3:$C$6802,Results!C155)/1000</f>
        <v>1432.2580100000002</v>
      </c>
      <c r="H155" s="35">
        <f t="shared" si="161"/>
        <v>358.06450250000006</v>
      </c>
      <c r="I155" s="187">
        <v>5</v>
      </c>
      <c r="J155" s="212">
        <v>1780</v>
      </c>
      <c r="K155" s="217">
        <f t="shared" si="162"/>
        <v>356</v>
      </c>
      <c r="L155" s="34">
        <f t="shared" si="155"/>
        <v>5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387.58095815015162</v>
      </c>
      <c r="N155" s="57">
        <v>0</v>
      </c>
      <c r="O155" s="57">
        <v>0</v>
      </c>
      <c r="P155" s="61">
        <f t="shared" si="156"/>
        <v>5</v>
      </c>
      <c r="Q155" s="40">
        <f t="shared" si="163"/>
        <v>0</v>
      </c>
      <c r="R155" s="40">
        <f t="shared" si="164"/>
        <v>0</v>
      </c>
      <c r="S155" s="44">
        <f t="shared" si="165"/>
        <v>1937.9047907507581</v>
      </c>
      <c r="T155" s="35">
        <f t="shared" si="166"/>
        <v>5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420.55267442001286</v>
      </c>
      <c r="V155" s="57">
        <v>0</v>
      </c>
      <c r="W155" s="57">
        <v>0</v>
      </c>
      <c r="X155" s="61">
        <f t="shared" si="157"/>
        <v>5</v>
      </c>
      <c r="Y155" s="40">
        <f t="shared" si="167"/>
        <v>0</v>
      </c>
      <c r="Z155" s="40">
        <f t="shared" si="168"/>
        <v>0</v>
      </c>
      <c r="AA155" s="44">
        <f t="shared" si="169"/>
        <v>2102.7633721000643</v>
      </c>
      <c r="AB155" s="35">
        <f t="shared" si="170"/>
        <v>5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455.90296507718887</v>
      </c>
      <c r="AD155" s="57">
        <v>0</v>
      </c>
      <c r="AE155" s="57">
        <v>2</v>
      </c>
      <c r="AF155" s="61">
        <f t="shared" si="158"/>
        <v>3</v>
      </c>
      <c r="AG155" s="40">
        <f t="shared" si="171"/>
        <v>0</v>
      </c>
      <c r="AH155" s="40">
        <f t="shared" si="172"/>
        <v>-911.80593015437773</v>
      </c>
      <c r="AI155" s="44">
        <f t="shared" si="173"/>
        <v>1367.7088952315667</v>
      </c>
      <c r="AJ155" s="35">
        <f t="shared" si="159"/>
        <v>3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493.3003178147946</v>
      </c>
      <c r="AL155" s="57">
        <v>0</v>
      </c>
      <c r="AM155" s="57">
        <v>0</v>
      </c>
      <c r="AN155" s="61">
        <f t="shared" si="160"/>
        <v>3</v>
      </c>
      <c r="AO155" s="40">
        <f t="shared" si="174"/>
        <v>0</v>
      </c>
      <c r="AP155" s="40">
        <f t="shared" si="175"/>
        <v>0</v>
      </c>
      <c r="AQ155" s="44">
        <f t="shared" si="176"/>
        <v>1479.9009534443837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11</v>
      </c>
      <c r="G156" s="35">
        <f>SUMIFS(WORKING!$AC$3:$AC$6802,WORKING!$A$3:$A$6802,Results!$D$3,WORKING!$B$3:$B$6802,Results!A156,WORKING!$C$3:$C$6802,Results!C156)/1000</f>
        <v>5038.5045599999994</v>
      </c>
      <c r="H156" s="35">
        <f t="shared" si="161"/>
        <v>458.04586909090904</v>
      </c>
      <c r="I156" s="187">
        <v>6</v>
      </c>
      <c r="J156" s="212">
        <v>2538</v>
      </c>
      <c r="K156" s="217">
        <f t="shared" si="162"/>
        <v>423</v>
      </c>
      <c r="L156" s="34">
        <f t="shared" si="155"/>
        <v>6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460.6665923385878</v>
      </c>
      <c r="N156" s="57">
        <v>0</v>
      </c>
      <c r="O156" s="57">
        <v>0</v>
      </c>
      <c r="P156" s="61">
        <f t="shared" si="156"/>
        <v>6</v>
      </c>
      <c r="Q156" s="40">
        <f t="shared" si="163"/>
        <v>0</v>
      </c>
      <c r="R156" s="40">
        <f t="shared" si="164"/>
        <v>0</v>
      </c>
      <c r="S156" s="44">
        <f t="shared" si="165"/>
        <v>2763.9995540315267</v>
      </c>
      <c r="T156" s="35">
        <f t="shared" si="166"/>
        <v>6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499.90255530530976</v>
      </c>
      <c r="V156" s="57">
        <v>0</v>
      </c>
      <c r="W156" s="57">
        <v>0</v>
      </c>
      <c r="X156" s="61">
        <f t="shared" si="157"/>
        <v>6</v>
      </c>
      <c r="Y156" s="40">
        <f t="shared" si="167"/>
        <v>0</v>
      </c>
      <c r="Z156" s="40">
        <f t="shared" si="168"/>
        <v>0</v>
      </c>
      <c r="AA156" s="44">
        <f t="shared" si="169"/>
        <v>2999.4153318318586</v>
      </c>
      <c r="AB156" s="35">
        <f t="shared" si="170"/>
        <v>6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541.97334378443941</v>
      </c>
      <c r="AD156" s="57">
        <v>0</v>
      </c>
      <c r="AE156" s="57">
        <v>2</v>
      </c>
      <c r="AF156" s="61">
        <f t="shared" si="158"/>
        <v>4</v>
      </c>
      <c r="AG156" s="40">
        <f t="shared" si="171"/>
        <v>0</v>
      </c>
      <c r="AH156" s="40">
        <f t="shared" si="172"/>
        <v>-1083.9466875688788</v>
      </c>
      <c r="AI156" s="44">
        <f t="shared" si="173"/>
        <v>2167.8933751377576</v>
      </c>
      <c r="AJ156" s="35">
        <f t="shared" si="159"/>
        <v>4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586.48541956031625</v>
      </c>
      <c r="AL156" s="57">
        <v>0</v>
      </c>
      <c r="AM156" s="57">
        <v>0</v>
      </c>
      <c r="AN156" s="61">
        <f t="shared" si="160"/>
        <v>4</v>
      </c>
      <c r="AO156" s="40">
        <f t="shared" si="174"/>
        <v>0</v>
      </c>
      <c r="AP156" s="40">
        <f t="shared" si="175"/>
        <v>0</v>
      </c>
      <c r="AQ156" s="44">
        <f t="shared" si="176"/>
        <v>2345.941678241265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3</v>
      </c>
      <c r="G157" s="35">
        <f>SUMIFS(WORKING!$AC$3:$AC$6802,WORKING!$A$3:$A$6802,Results!$D$3,WORKING!$B$3:$B$6802,Results!A157,WORKING!$C$3:$C$6802,Results!C157)/1000</f>
        <v>1468.13492</v>
      </c>
      <c r="H157" s="35">
        <f t="shared" si="161"/>
        <v>489.37830666666667</v>
      </c>
      <c r="I157" s="187">
        <v>1</v>
      </c>
      <c r="J157" s="212">
        <v>420</v>
      </c>
      <c r="K157" s="217">
        <f t="shared" si="162"/>
        <v>420</v>
      </c>
      <c r="L157" s="34">
        <f t="shared" si="155"/>
        <v>1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457.93984019982304</v>
      </c>
      <c r="N157" s="57">
        <v>1</v>
      </c>
      <c r="O157" s="57">
        <v>0</v>
      </c>
      <c r="P157" s="61">
        <f t="shared" si="156"/>
        <v>2</v>
      </c>
      <c r="Q157" s="40">
        <f t="shared" si="163"/>
        <v>457.93984019982304</v>
      </c>
      <c r="R157" s="40">
        <f t="shared" si="164"/>
        <v>0</v>
      </c>
      <c r="S157" s="44">
        <f t="shared" si="165"/>
        <v>915.87968039964608</v>
      </c>
      <c r="T157" s="35">
        <f t="shared" si="166"/>
        <v>2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497.10743159057733</v>
      </c>
      <c r="V157" s="57">
        <v>0</v>
      </c>
      <c r="W157" s="57">
        <v>0</v>
      </c>
      <c r="X157" s="61">
        <f t="shared" si="157"/>
        <v>2</v>
      </c>
      <c r="Y157" s="40">
        <f t="shared" si="167"/>
        <v>0</v>
      </c>
      <c r="Z157" s="40">
        <f t="shared" si="168"/>
        <v>0</v>
      </c>
      <c r="AA157" s="44">
        <f t="shared" si="169"/>
        <v>994.21486318115467</v>
      </c>
      <c r="AB157" s="35">
        <f t="shared" si="170"/>
        <v>2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539.12087723245361</v>
      </c>
      <c r="AD157" s="57">
        <v>0</v>
      </c>
      <c r="AE157" s="57">
        <v>0</v>
      </c>
      <c r="AF157" s="61">
        <f t="shared" si="158"/>
        <v>2</v>
      </c>
      <c r="AG157" s="40">
        <f t="shared" si="171"/>
        <v>0</v>
      </c>
      <c r="AH157" s="40">
        <f t="shared" si="172"/>
        <v>0</v>
      </c>
      <c r="AI157" s="44">
        <f t="shared" si="173"/>
        <v>1078.2417544649072</v>
      </c>
      <c r="AJ157" s="35">
        <f t="shared" si="159"/>
        <v>2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583.59160759435076</v>
      </c>
      <c r="AL157" s="57">
        <v>0</v>
      </c>
      <c r="AM157" s="57">
        <v>0</v>
      </c>
      <c r="AN157" s="61">
        <f t="shared" si="160"/>
        <v>2</v>
      </c>
      <c r="AO157" s="40">
        <f t="shared" si="174"/>
        <v>0</v>
      </c>
      <c r="AP157" s="40">
        <f t="shared" si="175"/>
        <v>0</v>
      </c>
      <c r="AQ157" s="44">
        <f t="shared" si="176"/>
        <v>1167.1832151887015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8</v>
      </c>
      <c r="G158" s="35">
        <f>SUMIFS(WORKING!$AC$3:$AC$6802,WORKING!$A$3:$A$6802,Results!$D$3,WORKING!$B$3:$B$6802,Results!A158,WORKING!$C$3:$C$6802,Results!C158)/1000</f>
        <v>5327.3586700000005</v>
      </c>
      <c r="H158" s="35">
        <f t="shared" si="161"/>
        <v>665.91983375000007</v>
      </c>
      <c r="I158" s="187">
        <v>6</v>
      </c>
      <c r="J158" s="212">
        <v>3702</v>
      </c>
      <c r="K158" s="217">
        <f t="shared" si="162"/>
        <v>617</v>
      </c>
      <c r="L158" s="34">
        <f t="shared" si="155"/>
        <v>6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673.67731676529922</v>
      </c>
      <c r="N158" s="57">
        <v>0</v>
      </c>
      <c r="O158" s="57">
        <v>0</v>
      </c>
      <c r="P158" s="61">
        <f t="shared" si="156"/>
        <v>6</v>
      </c>
      <c r="Q158" s="40">
        <f t="shared" si="163"/>
        <v>0</v>
      </c>
      <c r="R158" s="40">
        <f t="shared" si="164"/>
        <v>0</v>
      </c>
      <c r="S158" s="44">
        <f t="shared" si="165"/>
        <v>4042.0639005917956</v>
      </c>
      <c r="T158" s="35">
        <f t="shared" si="166"/>
        <v>6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731.45934281898235</v>
      </c>
      <c r="V158" s="57">
        <v>0</v>
      </c>
      <c r="W158" s="57">
        <v>0</v>
      </c>
      <c r="X158" s="61">
        <f t="shared" si="157"/>
        <v>6</v>
      </c>
      <c r="Y158" s="40">
        <f t="shared" si="167"/>
        <v>0</v>
      </c>
      <c r="Z158" s="40">
        <f t="shared" si="168"/>
        <v>0</v>
      </c>
      <c r="AA158" s="44">
        <f t="shared" si="169"/>
        <v>4388.7560569138941</v>
      </c>
      <c r="AB158" s="35">
        <f t="shared" si="170"/>
        <v>6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793.45515466872928</v>
      </c>
      <c r="AD158" s="57">
        <v>0</v>
      </c>
      <c r="AE158" s="57">
        <v>0</v>
      </c>
      <c r="AF158" s="61">
        <f t="shared" si="158"/>
        <v>6</v>
      </c>
      <c r="AG158" s="40">
        <f t="shared" si="171"/>
        <v>0</v>
      </c>
      <c r="AH158" s="40">
        <f t="shared" si="172"/>
        <v>0</v>
      </c>
      <c r="AI158" s="44">
        <f t="shared" si="173"/>
        <v>4760.7309280123754</v>
      </c>
      <c r="AJ158" s="35">
        <f t="shared" si="159"/>
        <v>6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859.09520392182799</v>
      </c>
      <c r="AL158" s="57">
        <v>0</v>
      </c>
      <c r="AM158" s="57">
        <v>0</v>
      </c>
      <c r="AN158" s="61">
        <f t="shared" si="160"/>
        <v>6</v>
      </c>
      <c r="AO158" s="40">
        <f t="shared" si="174"/>
        <v>0</v>
      </c>
      <c r="AP158" s="40">
        <f t="shared" si="175"/>
        <v>0</v>
      </c>
      <c r="AQ158" s="44">
        <f t="shared" si="176"/>
        <v>5154.5712235309675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6</v>
      </c>
      <c r="G159" s="35">
        <f>SUMIFS(WORKING!$AC$3:$AC$6802,WORKING!$A$3:$A$6802,Results!$D$3,WORKING!$B$3:$B$6802,Results!A159,WORKING!$C$3:$C$6802,Results!C159)/1000</f>
        <v>4496.9446700000008</v>
      </c>
      <c r="H159" s="35">
        <f t="shared" si="161"/>
        <v>749.49077833333342</v>
      </c>
      <c r="I159" s="187">
        <v>2</v>
      </c>
      <c r="J159" s="212">
        <v>1510</v>
      </c>
      <c r="K159" s="217">
        <f t="shared" si="162"/>
        <v>755</v>
      </c>
      <c r="L159" s="34">
        <f t="shared" si="155"/>
        <v>2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824.2292642103846</v>
      </c>
      <c r="N159" s="57">
        <v>0</v>
      </c>
      <c r="O159" s="57">
        <v>0</v>
      </c>
      <c r="P159" s="61">
        <f t="shared" si="156"/>
        <v>2</v>
      </c>
      <c r="Q159" s="40">
        <f t="shared" si="163"/>
        <v>0</v>
      </c>
      <c r="R159" s="40">
        <f t="shared" si="164"/>
        <v>0</v>
      </c>
      <c r="S159" s="44">
        <f t="shared" si="165"/>
        <v>1648.4585284207692</v>
      </c>
      <c r="T159" s="35">
        <f t="shared" si="166"/>
        <v>2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894.78895538965446</v>
      </c>
      <c r="V159" s="57">
        <v>0</v>
      </c>
      <c r="W159" s="57">
        <v>0</v>
      </c>
      <c r="X159" s="61">
        <f t="shared" si="157"/>
        <v>2</v>
      </c>
      <c r="Y159" s="40">
        <f t="shared" si="167"/>
        <v>0</v>
      </c>
      <c r="Z159" s="40">
        <f t="shared" si="168"/>
        <v>0</v>
      </c>
      <c r="AA159" s="44">
        <f t="shared" si="169"/>
        <v>1789.5779107793089</v>
      </c>
      <c r="AB159" s="35">
        <f t="shared" si="170"/>
        <v>2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970.48120097094557</v>
      </c>
      <c r="AD159" s="57">
        <v>0</v>
      </c>
      <c r="AE159" s="57">
        <v>0</v>
      </c>
      <c r="AF159" s="61">
        <f t="shared" si="158"/>
        <v>2</v>
      </c>
      <c r="AG159" s="40">
        <f t="shared" si="171"/>
        <v>0</v>
      </c>
      <c r="AH159" s="40">
        <f t="shared" si="172"/>
        <v>0</v>
      </c>
      <c r="AI159" s="44">
        <f t="shared" si="173"/>
        <v>1940.9624019418911</v>
      </c>
      <c r="AJ159" s="35">
        <f t="shared" si="159"/>
        <v>2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1050.6071538222438</v>
      </c>
      <c r="AL159" s="57">
        <v>0</v>
      </c>
      <c r="AM159" s="57">
        <v>0</v>
      </c>
      <c r="AN159" s="61">
        <f t="shared" si="160"/>
        <v>2</v>
      </c>
      <c r="AO159" s="40">
        <f t="shared" si="174"/>
        <v>0</v>
      </c>
      <c r="AP159" s="40">
        <f t="shared" si="175"/>
        <v>0</v>
      </c>
      <c r="AQ159" s="44">
        <f t="shared" si="176"/>
        <v>2101.2143076444877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5</v>
      </c>
      <c r="G160" s="35">
        <f>SUMIFS(WORKING!$AC$3:$AC$6802,WORKING!$A$3:$A$6802,Results!$D$3,WORKING!$B$3:$B$6802,Results!A160,WORKING!$C$3:$C$6802,Results!C160)/1000</f>
        <v>4816.7107400000004</v>
      </c>
      <c r="H160" s="35">
        <f t="shared" si="161"/>
        <v>963.34214800000007</v>
      </c>
      <c r="I160" s="187">
        <v>3</v>
      </c>
      <c r="J160" s="212">
        <v>2823</v>
      </c>
      <c r="K160" s="217">
        <f t="shared" si="162"/>
        <v>941</v>
      </c>
      <c r="L160" s="34">
        <f t="shared" si="155"/>
        <v>3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986.17205043150909</v>
      </c>
      <c r="N160" s="57">
        <v>0</v>
      </c>
      <c r="O160" s="57">
        <v>0</v>
      </c>
      <c r="P160" s="61">
        <f t="shared" si="156"/>
        <v>3</v>
      </c>
      <c r="Q160" s="40">
        <f t="shared" si="163"/>
        <v>0</v>
      </c>
      <c r="R160" s="40">
        <f t="shared" si="164"/>
        <v>0</v>
      </c>
      <c r="S160" s="44">
        <f t="shared" si="165"/>
        <v>2958.5161512945274</v>
      </c>
      <c r="T160" s="35">
        <f t="shared" si="166"/>
        <v>3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1060.5259505761767</v>
      </c>
      <c r="V160" s="57">
        <v>0</v>
      </c>
      <c r="W160" s="57">
        <v>0</v>
      </c>
      <c r="X160" s="61">
        <f t="shared" si="157"/>
        <v>3</v>
      </c>
      <c r="Y160" s="40">
        <f t="shared" si="167"/>
        <v>0</v>
      </c>
      <c r="Z160" s="40">
        <f t="shared" si="168"/>
        <v>0</v>
      </c>
      <c r="AA160" s="44">
        <f t="shared" si="169"/>
        <v>3181.5778517285298</v>
      </c>
      <c r="AB160" s="35">
        <f t="shared" si="170"/>
        <v>3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1139.4099429118062</v>
      </c>
      <c r="AD160" s="57">
        <v>0</v>
      </c>
      <c r="AE160" s="57">
        <v>0</v>
      </c>
      <c r="AF160" s="61">
        <f t="shared" si="158"/>
        <v>3</v>
      </c>
      <c r="AG160" s="40">
        <f t="shared" si="171"/>
        <v>0</v>
      </c>
      <c r="AH160" s="40">
        <f t="shared" si="172"/>
        <v>0</v>
      </c>
      <c r="AI160" s="44">
        <f t="shared" si="173"/>
        <v>3418.2298287354188</v>
      </c>
      <c r="AJ160" s="35">
        <f t="shared" si="159"/>
        <v>3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1221.8495610273696</v>
      </c>
      <c r="AL160" s="57">
        <v>0</v>
      </c>
      <c r="AM160" s="57">
        <v>0</v>
      </c>
      <c r="AN160" s="61">
        <f t="shared" si="160"/>
        <v>3</v>
      </c>
      <c r="AO160" s="40">
        <f t="shared" si="174"/>
        <v>0</v>
      </c>
      <c r="AP160" s="40">
        <f t="shared" si="175"/>
        <v>0</v>
      </c>
      <c r="AQ160" s="44">
        <f t="shared" si="176"/>
        <v>3665.5486830821092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2</v>
      </c>
      <c r="G161" s="35">
        <f>SUMIFS(WORKING!$AC$3:$AC$6802,WORKING!$A$3:$A$6802,Results!$D$3,WORKING!$B$3:$B$6802,Results!A161,WORKING!$C$3:$C$6802,Results!C161)/1000</f>
        <v>2184.3622999999998</v>
      </c>
      <c r="H161" s="35">
        <f t="shared" si="161"/>
        <v>1092.1811499999999</v>
      </c>
      <c r="I161" s="187">
        <v>1</v>
      </c>
      <c r="J161" s="212">
        <v>1157</v>
      </c>
      <c r="K161" s="217">
        <f t="shared" si="162"/>
        <v>1157</v>
      </c>
      <c r="L161" s="34">
        <f t="shared" si="155"/>
        <v>1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1213.1075666346931</v>
      </c>
      <c r="N161" s="57">
        <v>0</v>
      </c>
      <c r="O161" s="57">
        <v>0</v>
      </c>
      <c r="P161" s="61">
        <f t="shared" si="156"/>
        <v>1</v>
      </c>
      <c r="Q161" s="40">
        <f t="shared" si="163"/>
        <v>0</v>
      </c>
      <c r="R161" s="40">
        <f t="shared" si="164"/>
        <v>0</v>
      </c>
      <c r="S161" s="44">
        <f t="shared" si="165"/>
        <v>1213.1075666346931</v>
      </c>
      <c r="T161" s="35">
        <f t="shared" si="166"/>
        <v>1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1305.1811954172024</v>
      </c>
      <c r="V161" s="57">
        <v>0</v>
      </c>
      <c r="W161" s="57">
        <v>0</v>
      </c>
      <c r="X161" s="61">
        <f t="shared" si="157"/>
        <v>1</v>
      </c>
      <c r="Y161" s="40">
        <f t="shared" si="167"/>
        <v>0</v>
      </c>
      <c r="Z161" s="40">
        <f t="shared" si="168"/>
        <v>0</v>
      </c>
      <c r="AA161" s="44">
        <f t="shared" si="169"/>
        <v>1305.1811954172024</v>
      </c>
      <c r="AB161" s="35">
        <f t="shared" si="170"/>
        <v>1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1402.9183611899182</v>
      </c>
      <c r="AD161" s="57">
        <v>0</v>
      </c>
      <c r="AE161" s="57">
        <v>0</v>
      </c>
      <c r="AF161" s="61">
        <f t="shared" si="158"/>
        <v>1</v>
      </c>
      <c r="AG161" s="40">
        <f t="shared" si="171"/>
        <v>0</v>
      </c>
      <c r="AH161" s="40">
        <f t="shared" si="172"/>
        <v>0</v>
      </c>
      <c r="AI161" s="44">
        <f t="shared" si="173"/>
        <v>1402.9183611899182</v>
      </c>
      <c r="AJ161" s="35">
        <f t="shared" si="159"/>
        <v>1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1505.1265535948583</v>
      </c>
      <c r="AL161" s="57">
        <v>0</v>
      </c>
      <c r="AM161" s="57">
        <v>0</v>
      </c>
      <c r="AN161" s="61">
        <f t="shared" si="160"/>
        <v>1</v>
      </c>
      <c r="AO161" s="40">
        <f t="shared" si="174"/>
        <v>0</v>
      </c>
      <c r="AP161" s="40">
        <f t="shared" si="175"/>
        <v>0</v>
      </c>
      <c r="AQ161" s="44">
        <f t="shared" si="176"/>
        <v>1505.1265535948583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1</v>
      </c>
      <c r="G162" s="35">
        <f>SUMIFS(WORKING!$AC$3:$AC$6802,WORKING!$A$3:$A$6802,Results!$D$3,WORKING!$B$3:$B$6802,Results!A162,WORKING!$C$3:$C$6802,Results!C162)/1000</f>
        <v>238.04266000000004</v>
      </c>
      <c r="H162" s="35">
        <f t="shared" si="161"/>
        <v>238.04266000000004</v>
      </c>
      <c r="I162" s="187">
        <v>1</v>
      </c>
      <c r="J162" s="212">
        <v>1471</v>
      </c>
      <c r="K162" s="217">
        <f t="shared" si="162"/>
        <v>1471</v>
      </c>
      <c r="L162" s="34">
        <f t="shared" si="155"/>
        <v>1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1542.3350285275546</v>
      </c>
      <c r="N162" s="57">
        <v>0</v>
      </c>
      <c r="O162" s="57">
        <v>0</v>
      </c>
      <c r="P162" s="61">
        <f t="shared" si="156"/>
        <v>1</v>
      </c>
      <c r="Q162" s="40">
        <f t="shared" si="163"/>
        <v>0</v>
      </c>
      <c r="R162" s="40">
        <f t="shared" si="164"/>
        <v>0</v>
      </c>
      <c r="S162" s="44">
        <f t="shared" si="165"/>
        <v>1542.3350285275546</v>
      </c>
      <c r="T162" s="35">
        <f t="shared" si="166"/>
        <v>1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1659.3970559809618</v>
      </c>
      <c r="V162" s="57">
        <v>0</v>
      </c>
      <c r="W162" s="57">
        <v>0</v>
      </c>
      <c r="X162" s="61">
        <f t="shared" si="157"/>
        <v>1</v>
      </c>
      <c r="Y162" s="40">
        <f t="shared" si="167"/>
        <v>0</v>
      </c>
      <c r="Z162" s="40">
        <f t="shared" si="168"/>
        <v>0</v>
      </c>
      <c r="AA162" s="44">
        <f t="shared" si="169"/>
        <v>1659.3970559809618</v>
      </c>
      <c r="AB162" s="35">
        <f t="shared" si="170"/>
        <v>1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1783.6597133544481</v>
      </c>
      <c r="AD162" s="57">
        <v>0</v>
      </c>
      <c r="AE162" s="57">
        <v>0</v>
      </c>
      <c r="AF162" s="61">
        <f t="shared" si="158"/>
        <v>1</v>
      </c>
      <c r="AG162" s="40">
        <f t="shared" si="171"/>
        <v>0</v>
      </c>
      <c r="AH162" s="40">
        <f t="shared" si="172"/>
        <v>0</v>
      </c>
      <c r="AI162" s="44">
        <f t="shared" si="173"/>
        <v>1783.6597133544481</v>
      </c>
      <c r="AJ162" s="35">
        <f t="shared" si="159"/>
        <v>1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1913.6068565405137</v>
      </c>
      <c r="AL162" s="57">
        <v>0</v>
      </c>
      <c r="AM162" s="57">
        <v>0</v>
      </c>
      <c r="AN162" s="61">
        <f t="shared" si="160"/>
        <v>1</v>
      </c>
      <c r="AO162" s="40">
        <f t="shared" si="174"/>
        <v>0</v>
      </c>
      <c r="AP162" s="40">
        <f t="shared" si="175"/>
        <v>0</v>
      </c>
      <c r="AQ162" s="44">
        <f t="shared" si="176"/>
        <v>1913.6068565405137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51</v>
      </c>
      <c r="G168" s="41">
        <f>SUM(G148:G167)</f>
        <v>27957.190320000002</v>
      </c>
      <c r="H168" s="41">
        <f>IFERROR(G168/F168,0)</f>
        <v>548.18020235294125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30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16912.132579999998</v>
      </c>
      <c r="K168" s="41">
        <f>IFERROR(J168/I168,"")</f>
        <v>563.73775266666655</v>
      </c>
      <c r="L168" s="41">
        <f>SUM(L148:L167)</f>
        <v>30</v>
      </c>
      <c r="M168" s="41">
        <f>IFERROR(S168/P168,0)</f>
        <v>586.15742365925246</v>
      </c>
      <c r="N168" s="41">
        <f t="shared" ref="N168:T168" si="177">SUM(N148:N167)</f>
        <v>3</v>
      </c>
      <c r="O168" s="41">
        <f t="shared" si="177"/>
        <v>0</v>
      </c>
      <c r="P168" s="41">
        <f t="shared" si="177"/>
        <v>33</v>
      </c>
      <c r="Q168" s="41">
        <f t="shared" si="177"/>
        <v>1150.1339705084288</v>
      </c>
      <c r="R168" s="41">
        <f t="shared" si="177"/>
        <v>0</v>
      </c>
      <c r="S168" s="45">
        <f t="shared" si="177"/>
        <v>19343.194980755332</v>
      </c>
      <c r="T168" s="41">
        <f t="shared" si="177"/>
        <v>33</v>
      </c>
      <c r="U168" s="41">
        <f>IFERROR(AA168/X168,0)</f>
        <v>634.51077965156207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33</v>
      </c>
      <c r="Y168" s="41">
        <f t="shared" si="178"/>
        <v>0</v>
      </c>
      <c r="Z168" s="41">
        <f t="shared" si="178"/>
        <v>0</v>
      </c>
      <c r="AA168" s="45">
        <f t="shared" si="178"/>
        <v>20938.855728501549</v>
      </c>
      <c r="AB168" s="41">
        <f t="shared" si="178"/>
        <v>33</v>
      </c>
      <c r="AC168" s="41">
        <f>IFERROR(AI168/AF168,0)</f>
        <v>712.05296757764188</v>
      </c>
      <c r="AD168" s="41">
        <f t="shared" ref="AD168:AJ168" si="179">SUM(AD148:AD167)</f>
        <v>0</v>
      </c>
      <c r="AE168" s="41">
        <f t="shared" si="179"/>
        <v>4</v>
      </c>
      <c r="AF168" s="41">
        <f t="shared" si="179"/>
        <v>29</v>
      </c>
      <c r="AG168" s="41">
        <f t="shared" si="179"/>
        <v>0</v>
      </c>
      <c r="AH168" s="41">
        <f t="shared" si="179"/>
        <v>-1995.7526177232567</v>
      </c>
      <c r="AI168" s="45">
        <f t="shared" si="179"/>
        <v>20649.536059751616</v>
      </c>
      <c r="AJ168" s="41">
        <f t="shared" si="179"/>
        <v>29</v>
      </c>
      <c r="AK168" s="41">
        <f>IFERROR(AQ168/AN168,0)</f>
        <v>768.47201674031476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29</v>
      </c>
      <c r="AO168" s="41">
        <f t="shared" si="180"/>
        <v>0</v>
      </c>
      <c r="AP168" s="41">
        <f t="shared" si="180"/>
        <v>0</v>
      </c>
      <c r="AQ168" s="45">
        <f t="shared" si="180"/>
        <v>22285.688485469127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18050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19310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18904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20340.704000000002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-1293.1949807553319</v>
      </c>
      <c r="T170" s="39"/>
      <c r="U170" s="39"/>
      <c r="V170" s="53"/>
      <c r="W170" s="53"/>
      <c r="X170" s="110"/>
      <c r="Y170" s="39"/>
      <c r="Z170" s="39"/>
      <c r="AA170" s="54">
        <f>AA169-AA168</f>
        <v>-1628.8557285015486</v>
      </c>
      <c r="AB170" s="39"/>
      <c r="AC170" s="53"/>
      <c r="AD170" s="53"/>
      <c r="AE170" s="110"/>
      <c r="AF170" s="39"/>
      <c r="AG170" s="39"/>
      <c r="AH170" s="39"/>
      <c r="AI170" s="54">
        <f>AI169-AI168</f>
        <v>-1745.5360597516155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-1944.9844854691255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Programme 5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0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0</v>
      </c>
      <c r="T198" s="39"/>
      <c r="U198" s="39"/>
      <c r="V198" s="53"/>
      <c r="W198" s="53"/>
      <c r="X198" s="110"/>
      <c r="Y198" s="39"/>
      <c r="Z198" s="39"/>
      <c r="AA198" s="54">
        <f>AA197-AA196</f>
        <v>0</v>
      </c>
      <c r="AB198" s="39"/>
      <c r="AC198" s="53"/>
      <c r="AD198" s="53"/>
      <c r="AE198" s="110"/>
      <c r="AF198" s="39"/>
      <c r="AG198" s="39"/>
      <c r="AH198" s="39"/>
      <c r="AI198" s="54">
        <f>AI197-AI196</f>
        <v>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0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sNpDEAxzDQwZhD87JROBFnVFN10O0lQsqsHIZR1ebeeSXdF7I2xGC4RYuT7J6oWQfVSqGjwbORnuwvviIS/DoA==" saltValue="XVVgHzErs7rlKJO8dU2dmw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Human Settlements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38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42671.516407986113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NAT_HRBP__42671.5164079861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HRBP-Vote38.xlsx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purl.org/dc/terms/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  <ds:schemaRef ds:uri="df7ca258-5e24-45de-bd31-dbc76bc6765a"/>
    <ds:schemaRef ds:uri="http://schemas.microsoft.com/office/2006/documentManagement/types"/>
    <ds:schemaRef ds:uri="http://schemas.microsoft.com/sharepoint/v3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2016-10-28T10:24:30Z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